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1YvbXDyY0FS/3v2W5OtJ0FF3ZZrqAJYUzzPACC34Z1d2HNPZ81IOpPzZZVSEdxvbfImMoJj0LwIzTX8vKqv5Nw==" workbookSaltValue="fvYFu+eyI0ADABNnlJ2vg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AO16" i="17" s="1"/>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P9" i="14"/>
  <c r="O17" i="14"/>
  <c r="O16" i="14"/>
  <c r="O15" i="14"/>
  <c r="O12" i="14"/>
  <c r="O11" i="14"/>
  <c r="O10" i="14"/>
  <c r="O9" i="14"/>
  <c r="O19" i="8"/>
  <c r="AZ9" i="8"/>
  <c r="BB16" i="8"/>
  <c r="BA16" i="8"/>
  <c r="AZ16" i="8"/>
  <c r="AY16" i="8"/>
  <c r="BB15" i="8"/>
  <c r="BA15" i="8"/>
  <c r="AZ15" i="8"/>
  <c r="AY15" i="8"/>
  <c r="BB12" i="8"/>
  <c r="BA12" i="8"/>
  <c r="AZ12" i="8"/>
  <c r="BD12" i="8" s="1"/>
  <c r="H12" i="7"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M19" i="8"/>
  <c r="AP13" i="17"/>
  <c r="BF17" i="8"/>
  <c r="AB19" i="19"/>
  <c r="BF9" i="13"/>
  <c r="E18" i="12"/>
  <c r="ER19" i="8"/>
  <c r="EL19" i="8"/>
  <c r="AC11" i="11"/>
  <c r="EQ19" i="8"/>
  <c r="AP12" i="11"/>
  <c r="Y11" i="11"/>
  <c r="AT18" i="17"/>
  <c r="B16" i="6"/>
  <c r="AL10" i="11"/>
  <c r="N10" i="11"/>
  <c r="N9" i="11"/>
  <c r="T10" i="21"/>
  <c r="V10" i="21" s="1"/>
  <c r="E15" i="6"/>
  <c r="F10" i="10"/>
  <c r="N11" i="11"/>
  <c r="ES19" i="8"/>
  <c r="S19" i="13"/>
  <c r="AG19" i="19"/>
  <c r="F9" i="11"/>
  <c r="R8" i="9"/>
  <c r="X12" i="21" s="1"/>
  <c r="CI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V12" i="21"/>
  <c r="H18" i="16"/>
  <c r="P13" i="16"/>
  <c r="AN13" i="20"/>
  <c r="F15" i="17"/>
  <c r="X11" i="17"/>
  <c r="Z13" i="17"/>
  <c r="F17" i="17"/>
  <c r="AQ17" i="17" s="1"/>
  <c r="M13" i="2"/>
  <c r="N13" i="2"/>
  <c r="C17" i="6"/>
  <c r="AO12" i="11"/>
  <c r="B12" i="6"/>
  <c r="AC10" i="11"/>
  <c r="H13" i="12"/>
  <c r="T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AY18" i="8"/>
  <c r="BF15" i="8"/>
  <c r="AZ18" i="13"/>
  <c r="AY13" i="8"/>
  <c r="BG15" i="8"/>
  <c r="BD9" i="8"/>
  <c r="BE9" i="8"/>
  <c r="BA13" i="8"/>
  <c r="X12" i="17"/>
  <c r="L10" i="2"/>
  <c r="AV18" i="17"/>
  <c r="J18" i="17"/>
  <c r="L15" i="2"/>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AO17" i="11" l="1"/>
  <c r="B17" i="6"/>
  <c r="B18" i="2"/>
  <c r="AJ19" i="8"/>
  <c r="Y19" i="8"/>
  <c r="AO16" i="11"/>
  <c r="AW18" i="21"/>
  <c r="C19" i="3"/>
  <c r="L12" i="14"/>
  <c r="AO12" i="17"/>
  <c r="AB19" i="8"/>
  <c r="Z19" i="8"/>
  <c r="BG10" i="8"/>
  <c r="F9" i="2"/>
  <c r="E9" i="6"/>
  <c r="AO9" i="11"/>
  <c r="AL11" i="11"/>
  <c r="B9" i="6"/>
  <c r="H12" i="2"/>
  <c r="M18" i="2"/>
  <c r="N18" i="2"/>
  <c r="BF11" i="8"/>
  <c r="BF9" i="8"/>
  <c r="C10" i="6"/>
  <c r="BD15" i="8"/>
  <c r="H15" i="7" s="1"/>
  <c r="BE15" i="8"/>
  <c r="BG16" i="8"/>
  <c r="K16" i="7" s="1"/>
  <c r="E18" i="2"/>
  <c r="AL15" i="11"/>
  <c r="L16" i="14"/>
  <c r="F15" i="11"/>
  <c r="F16" i="17"/>
  <c r="F18" i="17" s="1"/>
  <c r="BB13" i="13"/>
  <c r="D11" i="12"/>
  <c r="D12" i="12"/>
  <c r="BG9" i="8"/>
  <c r="K9" i="7" s="1"/>
  <c r="BD11" i="8"/>
  <c r="BE11" i="8"/>
  <c r="I11" i="7" s="1"/>
  <c r="BG12" i="8"/>
  <c r="K12" i="7" s="1"/>
  <c r="BE12" i="8"/>
  <c r="I12" i="7" s="1"/>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B19" i="7" s="1"/>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O10" i="11"/>
  <c r="BR20" i="16"/>
  <c r="BP20" i="16"/>
  <c r="U17" i="11"/>
  <c r="AU20" i="17"/>
  <c r="I17" i="12" l="1"/>
  <c r="AQ16" i="17"/>
  <c r="D19" i="12"/>
  <c r="B18" i="6"/>
  <c r="K12" i="12"/>
  <c r="I12" i="12"/>
  <c r="H13" i="2"/>
  <c r="G19" i="7"/>
  <c r="F19" i="7"/>
  <c r="I10" i="12"/>
  <c r="C18" i="6"/>
  <c r="Y13" i="11"/>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16"/>
  <c r="E20" i="17"/>
  <c r="Z20" i="17"/>
  <c r="F20" i="12"/>
  <c r="R20" i="11"/>
  <c r="AR20" i="20"/>
  <c r="Q20" i="16"/>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M20" i="11"/>
  <c r="AI20" i="11"/>
  <c r="AD20" i="16"/>
  <c r="AG20" i="21"/>
  <c r="AE20" i="17"/>
  <c r="H20" i="21"/>
  <c r="Y20" i="11"/>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<sst xmlns="http://schemas.openxmlformats.org/spreadsheetml/2006/main" count="2102" uniqueCount="918">
  <si>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</si>
  <si>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</si>
  <si>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</si>
  <si>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</si>
  <si>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</si>
  <si>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</si>
  <si>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</si>
  <si>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</si>
  <si>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</si>
  <si>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</si>
  <si>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</si>
  <si>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</si>
  <si>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</si>
  <si>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</si>
  <si>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</si>
  <si>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</si>
  <si>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</si>
  <si>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</si>
  <si>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</si>
  <si>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</si>
  <si>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</si>
  <si>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</si>
  <si>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</si>
  <si>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</si>
  <si>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</si>
  <si>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</si>
  <si>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</si>
  <si>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</si>
  <si>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</si>
  <si>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</si>
  <si>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</si>
  <si>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</si>
  <si>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</si>
  <si>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</si>
  <si>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</si>
  <si>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</si>
  <si>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</si>
  <si>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</si>
  <si>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</si>
  <si>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</si>
  <si>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</si>
  <si>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</si>
  <si>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</si>
  <si>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</si>
  <si>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</si>
  <si>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</si>
  <si>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</si>
  <si>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</si>
  <si>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</si>
  <si>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</si>
  <si>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</si>
  <si>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</si>
  <si>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</si>
  <si>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</si>
  <si>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</si>
  <si>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</si>
  <si>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</si>
  <si>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</si>
  <si>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</si>
  <si>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</si>
  <si>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</si>
  <si>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</si>
  <si>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</si>
  <si>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</si>
  <si>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</si>
  <si>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</si>
  <si>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</si>
  <si>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</si>
  <si>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</si>
  <si>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</si>
  <si>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</si>
  <si>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</si>
  <si>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</si>
  <si>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</si>
  <si>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</si>
  <si>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</si>
  <si>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</si>
  <si>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</si>
  <si>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</si>
  <si>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</si>
  <si>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</si>
  <si>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</si>
  <si>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</si>
  <si>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</si>
  <si>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</si>
  <si>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</si>
  <si>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</si>
  <si>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</si>
  <si>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</si>
  <si>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</si>
  <si>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</si>
  <si>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</si>
  <si>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</si>
  <si>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</si>
  <si>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</si>
  <si>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</si>
  <si>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</si>
  <si>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</si>
  <si>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</si>
  <si>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</si>
  <si>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</si>
  <si>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</si>
  <si>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</si>
  <si>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</si>
  <si>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</si>
  <si>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</si>
  <si>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</si>
  <si>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</si>
  <si>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</si>
  <si>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</si>
  <si>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</si>
  <si>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</si>
  <si>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</si>
  <si>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</si>
  <si>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</si>
  <si>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</si>
  <si>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</si>
  <si>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</si>
  <si>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</si>
  <si>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</si>
  <si>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</si>
  <si>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</si>
  <si>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</si>
  <si>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</si>
  <si>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</si>
  <si>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</si>
  <si>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</si>
  <si>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</si>
  <si>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</si>
  <si>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</si>
  <si>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</si>
  <si>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</si>
  <si>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</si>
  <si>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</si>
  <si>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</si>
  <si>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</si>
  <si>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</si>
  <si>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</si>
  <si>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</si>
  <si>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</si>
  <si>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</si>
  <si>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</si>
  <si>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</si>
  <si>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</si>
  <si>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</si>
  <si>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</si>
  <si>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</si>
  <si>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</si>
  <si>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</si>
  <si>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</si>
  <si>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</si>
  <si>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</si>
  <si>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</si>
  <si>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</si>
  <si>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</si>
  <si>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</si>
  <si>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</si>
  <si>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</si>
  <si>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</si>
  <si>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</si>
  <si>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</si>
  <si>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</si>
  <si>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</si>
  <si>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</si>
  <si>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</si>
  <si>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</si>
  <si>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</si>
  <si>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</si>
  <si>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</si>
  <si>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</si>
  <si>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</si>
  <si>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</si>
  <si>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</si>
  <si>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</si>
  <si>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</si>
  <si>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</si>
  <si>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</si>
  <si>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</si>
  <si>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</si>
  <si>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</si>
  <si>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</si>
  <si>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</si>
  <si>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</si>
  <si>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</si>
  <si>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</si>
  <si>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</si>
  <si>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</si>
  <si>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</si>
  <si>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</si>
  <si>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</si>
  <si>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</si>
  <si>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</si>
  <si>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</si>
  <si>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</si>
  <si>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</si>
  <si>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</si>
  <si>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</si>
  <si>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</si>
  <si>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</si>
  <si>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</si>
  <si>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</si>
  <si>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</si>
  <si>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</si>
  <si>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</si>
  <si>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</si>
  <si>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</si>
  <si>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</si>
  <si>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</si>
  <si>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</si>
  <si>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</si>
  <si>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</si>
  <si>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</si>
  <si>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</si>
  <si>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</si>
  <si>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</si>
  <si>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</si>
  <si>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</si>
  <si>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</si>
  <si>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</si>
  <si>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</si>
  <si>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</si>
  <si>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</si>
  <si>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</si>
  <si>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</si>
  <si>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</si>
  <si>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</si>
  <si>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</si>
  <si>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</si>
  <si>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</si>
  <si>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</si>
  <si>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</si>
  <si>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</si>
  <si>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</si>
  <si>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</si>
  <si>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</si>
  <si>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</si>
  <si>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</si>
  <si>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</si>
  <si>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</si>
  <si>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</si>
  <si>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</si>
  <si>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</si>
  <si>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</si>
  <si>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</si>
  <si>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</si>
  <si>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</si>
  <si>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</si>
  <si>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</si>
  <si>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</si>
  <si>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</si>
  <si>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</si>
  <si>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</si>
  <si>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</si>
  <si>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</si>
  <si>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</si>
  <si>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</si>
  <si>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</si>
  <si>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</si>
  <si>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</si>
  <si>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</si>
  <si>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</si>
  <si>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</si>
  <si>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</si>
  <si>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</si>
  <si>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</si>
  <si>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</si>
  <si>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</si>
  <si>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</si>
  <si>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</si>
  <si>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</si>
  <si>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</si>
  <si>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</si>
  <si>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</si>
  <si>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</si>
  <si>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</si>
  <si>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</si>
  <si>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</si>
  <si>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</si>
  <si>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</si>
  <si>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</si>
  <si>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</si>
  <si>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</si>
  <si>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</si>
  <si>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</si>
  <si>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</si>
  <si>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</si>
  <si>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</si>
  <si>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</si>
  <si>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</si>
  <si>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</si>
  <si>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</si>
  <si>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</si>
  <si>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</si>
  <si>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</si>
  <si>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</si>
  <si>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</si>
  <si>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</si>
  <si>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</si>
  <si>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</si>
  <si>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</si>
  <si>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</si>
  <si>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</si>
  <si>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</si>
  <si>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</si>
  <si>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</si>
  <si>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</si>
  <si>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</si>
  <si>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</si>
  <si>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</si>
  <si>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</si>
  <si>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</si>
  <si>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</si>
  <si>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</si>
  <si>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</si>
  <si>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</si>
  <si>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</si>
  <si>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</si>
  <si>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</si>
  <si>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</si>
  <si>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</si>
  <si>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</si>
  <si>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</si>
  <si>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</si>
  <si>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</si>
  <si>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</si>
  <si>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</si>
  <si>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</si>
  <si>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</si>
  <si>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</si>
  <si>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</si>
  <si>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</si>
  <si>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</si>
  <si>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</si>
  <si>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</si>
  <si>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</si>
  <si>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</si>
  <si>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</si>
  <si>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</si>
  <si>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</si>
  <si>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</si>
  <si>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</si>
  <si>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</si>
  <si>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</si>
  <si>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</si>
  <si>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</si>
  <si>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</si>
  <si>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</si>
  <si>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</si>
  <si>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</si>
  <si>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</si>
  <si>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</si>
  <si>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</si>
  <si>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</si>
  <si>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</si>
  <si>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</si>
  <si>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</si>
  <si>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</si>
  <si>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</si>
  <si>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</si>
  <si>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</si>
  <si>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</si>
  <si>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</si>
  <si>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</si>
  <si>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</si>
  <si>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</si>
  <si>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</si>
  <si>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</si>
  <si>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</si>
  <si>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</si>
  <si>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</si>
  <si>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</si>
  <si>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</si>
  <si>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</si>
  <si>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</si>
  <si>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</si>
  <si>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</si>
  <si>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</si>
  <si>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</si>
  <si>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</si>
  <si>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</si>
  <si>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</si>
  <si>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</si>
  <si>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</si>
  <si>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</si>
  <si>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</si>
  <si>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</si>
  <si>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</si>
  <si>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</si>
  <si>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</si>
  <si>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</si>
  <si>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</si>
  <si>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</si>
  <si>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</si>
  <si>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</si>
  <si>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</si>
  <si>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</si>
  <si>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</si>
  <si>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</si>
  <si>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</si>
  <si>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</si>
  <si>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</si>
  <si>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</si>
  <si>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</si>
  <si>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</si>
  <si>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</si>
  <si>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</si>
  <si>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</si>
  <si>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</si>
  <si>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</si>
  <si>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</si>
  <si>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</si>
  <si>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</si>
  <si>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</si>
  <si>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</si>
  <si>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</si>
  <si>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</si>
  <si>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</si>
  <si>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</si>
  <si>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</si>
  <si>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</si>
  <si>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</si>
  <si>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</si>
  <si>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</si>
  <si>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</si>
  <si>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</si>
  <si>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</si>
  <si>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</si>
  <si>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</si>
  <si>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</si>
  <si>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</si>
  <si>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</si>
  <si>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</si>
  <si>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</si>
  <si>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</si>
  <si>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</si>
  <si>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</si>
  <si>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</si>
  <si>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</si>
  <si>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</si>
  <si>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</si>
  <si>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</si>
  <si>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</si>
  <si>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</si>
  <si>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</si>
  <si>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</si>
  <si>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</si>
  <si>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</si>
  <si>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</si>
  <si>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</si>
  <si>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</si>
  <si>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</si>
  <si>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</si>
  <si>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</si>
  <si>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</si>
  <si>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</si>
  <si>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</si>
  <si>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</si>
  <si>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</si>
  <si>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</si>
  <si>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</si>
  <si>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</si>
  <si>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</si>
  <si>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</si>
  <si>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</si>
  <si>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</si>
  <si>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</si>
  <si>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</si>
  <si>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</si>
  <si>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</si>
  <si>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</si>
  <si>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</si>
  <si>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</si>
  <si>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</si>
  <si>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</si>
  <si>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</si>
  <si>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</si>
  <si>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</si>
  <si>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</si>
  <si>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</si>
  <si>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</si>
  <si>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</si>
  <si>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</si>
  <si>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</si>
  <si>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</si>
  <si>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</si>
  <si>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</si>
  <si>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</si>
  <si>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</si>
  <si>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</si>
  <si>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</si>
  <si>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</si>
  <si>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</si>
  <si>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</si>
  <si>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</si>
  <si>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</si>
  <si>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</si>
  <si>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</si>
  <si>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</si>
  <si>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</si>
  <si>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</si>
  <si>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</si>
  <si>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</si>
  <si>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</si>
  <si>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</si>
  <si>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</si>
  <si>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</si>
  <si>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</si>
  <si>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</si>
  <si>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</si>
  <si>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</si>
  <si>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</si>
  <si>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</si>
  <si>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</si>
  <si>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</si>
  <si>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</si>
  <si>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</si>
  <si>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</si>
  <si>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</si>
  <si>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</si>
  <si>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</si>
  <si>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</si>
  <si>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</si>
  <si>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</si>
  <si>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</si>
  <si>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</si>
  <si>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</si>
  <si>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</si>
  <si>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</si>
  <si>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</si>
  <si>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</si>
  <si>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</si>
  <si>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</si>
  <si>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</si>
  <si>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</si>
  <si>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</si>
  <si>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</si>
  <si>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</si>
  <si>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</si>
  <si>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</si>
  <si>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</si>
  <si>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</si>
  <si>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</si>
  <si>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</si>
  <si>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</si>
  <si>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</si>
  <si>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</si>
  <si>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</si>
  <si>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</si>
  <si>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</si>
  <si>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</si>
  <si>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</si>
  <si>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</si>
  <si>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</si>
  <si>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</si>
  <si>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</si>
  <si>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</si>
  <si>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</si>
  <si>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</si>
  <si>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</si>
  <si>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</si>
  <si>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</si>
  <si>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</si>
  <si>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</si>
  <si>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</si>
  <si>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</si>
  <si>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</si>
  <si>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</si>
  <si>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</si>
  <si>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</si>
  <si>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</si>
  <si>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</si>
  <si>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</si>
  <si>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</si>
  <si>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</si>
  <si>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</si>
  <si>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</si>
  <si>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</si>
  <si>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</si>
  <si>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</si>
  <si>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</si>
  <si>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</si>
  <si>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</si>
  <si>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</si>
  <si>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</si>
  <si>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</si>
  <si>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</si>
  <si>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</si>
  <si>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</si>
  <si>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</si>
  <si>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</si>
  <si>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</si>
  <si>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</si>
  <si>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</si>
  <si>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</si>
  <si>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</si>
  <si>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</si>
  <si>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</si>
  <si>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</si>
  <si>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</si>
  <si>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</si>
  <si>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</si>
  <si>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</si>
  <si>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</si>
  <si>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</si>
  <si>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</si>
  <si>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</si>
  <si>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</si>
  <si>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</si>
  <si>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</si>
  <si>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</si>
  <si>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</si>
  <si>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</si>
  <si>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</si>
  <si>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</si>
  <si>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</si>
  <si>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</si>
  <si>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</si>
  <si>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</si>
  <si>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</si>
  <si>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</si>
  <si>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</si>
  <si>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</si>
  <si>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</si>
  <si>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</si>
  <si>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</si>
  <si>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</si>
  <si>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</si>
  <si>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</si>
  <si>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</si>
  <si>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</si>
  <si>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</si>
  <si>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</si>
  <si>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</si>
  <si>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</si>
  <si>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</si>
  <si>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</si>
  <si>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</si>
  <si>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</si>
  <si>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</si>
  <si>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</si>
  <si>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</si>
  <si>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</si>
  <si>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</si>
  <si>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</si>
  <si>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</si>
  <si>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</si>
  <si>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</si>
  <si>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</si>
  <si>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</si>
  <si>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</si>
  <si>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</si>
  <si>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</si>
  <si>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</si>
  <si>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</si>
  <si>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</si>
  <si>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</si>
  <si>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</si>
  <si>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</si>
  <si>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</si>
  <si>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</si>
  <si>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</si>
  <si>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</si>
  <si>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</si>
  <si>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</si>
  <si>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</si>
  <si>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</si>
  <si>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</si>
  <si>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</si>
  <si>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</si>
  <si>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</si>
  <si>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</si>
  <si>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</si>
  <si>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</si>
  <si>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</si>
  <si>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</si>
  <si>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</si>
  <si>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</si>
  <si>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</si>
  <si>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</si>
  <si>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</si>
  <si>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</si>
  <si>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</si>
  <si>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</si>
  <si>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</si>
  <si>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</si>
  <si>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</si>
  <si>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</si>
  <si>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</si>
  <si>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</si>
  <si>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</si>
  <si>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</si>
  <si>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</si>
  <si>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</si>
  <si>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</si>
  <si>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</si>
  <si>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</si>
  <si>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</si>
  <si>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</si>
  <si>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</si>
  <si>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</si>
  <si>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</si>
  <si>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</si>
  <si>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</si>
  <si>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</si>
  <si>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</si>
  <si>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</si>
  <si>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</si>
  <si>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</si>
  <si>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</si>
  <si>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</si>
  <si>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</si>
  <si>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</si>
  <si>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</si>
  <si>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</si>
  <si>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</si>
  <si>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</si>
  <si>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</si>
  <si>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</si>
  <si>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</si>
  <si>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</si>
  <si>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</si>
  <si>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</si>
  <si>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</si>
  <si>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</si>
  <si>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</si>
  <si>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</si>
  <si>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</si>
  <si>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</si>
  <si>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</si>
  <si>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</si>
  <si>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</si>
  <si>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</si>
  <si>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</si>
  <si>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</si>
  <si>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</si>
  <si>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</si>
  <si>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</si>
  <si>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</si>
  <si>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</si>
  <si>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</si>
  <si>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</si>
  <si>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</si>
  <si>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</si>
  <si>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</si>
  <si>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</si>
  <si>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</si>
  <si>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</si>
  <si>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</si>
  <si>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</si>
  <si>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</si>
  <si>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</si>
  <si>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</si>
  <si>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</si>
  <si>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</si>
  <si>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</si>
  <si>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</si>
  <si>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</si>
  <si>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</si>
  <si>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</si>
  <si>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</si>
  <si>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</si>
  <si>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</si>
  <si>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</si>
  <si>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</si>
  <si>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</si>
  <si>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</si>
  <si>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</si>
  <si>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</si>
  <si>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</si>
  <si>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</si>
  <si>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</si>
  <si>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</si>
  <si>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</si>
  <si>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</si>
  <si>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</si>
  <si>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</si>
  <si>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</si>
  <si>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</si>
  <si>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</si>
  <si>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</si>
  <si>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</si>
  <si>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</si>
  <si>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</si>
  <si>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</si>
  <si>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</si>
  <si>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</si>
  <si>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</si>
  <si>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</si>
  <si>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</si>
  <si>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</si>
  <si>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</si>
  <si>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</si>
  <si>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</si>
  <si>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</si>
  <si>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</si>
  <si>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</si>
  <si>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</si>
  <si>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</si>
  <si>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</si>
  <si>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</si>
  <si>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</si>
  <si>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</si>
  <si>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</si>
  <si>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</si>
  <si>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</si>
  <si>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</si>
  <si>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</si>
  <si>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</si>
  <si>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</si>
  <si>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</si>
  <si>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</si>
  <si>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</si>
  <si>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</si>
  <si>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</si>
  <si>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</si>
  <si>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</si>
  <si>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</si>
  <si>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</si>
  <si>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</si>
  <si>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</si>
  <si>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</si>
  <si>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</si>
  <si>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</si>
  <si>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</si>
  <si>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</si>
  <si>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</si>
  <si>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</si>
  <si>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</si>
  <si>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</si>
  <si>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</si>
  <si>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</si>
  <si>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</si>
  <si>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</si>
  <si>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</si>
  <si>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</si>
  <si>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</si>
  <si>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</si>
  <si>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</si>
  <si>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</si>
  <si>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</si>
  <si>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</si>
  <si>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</si>
  <si>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</si>
  <si>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</si>
  <si>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</si>
  <si>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</si>
  <si>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</si>
  <si>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</si>
  <si>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</si>
  <si>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</si>
  <si>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</si>
  <si>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</si>
  <si>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</si>
  <si>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</si>
  <si>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</si>
  <si>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</si>
  <si>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</si>
  <si>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</si>
  <si>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</si>
  <si>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</si>
  <si>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</si>
  <si>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</si>
  <si>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</si>
  <si>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</si>
  <si>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</si>
  <si>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</si>
  <si>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</si>
  <si>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</si>
  <si>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</si>
  <si>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</si>
  <si>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</si>
  <si>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</si>
  <si>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</si>
  <si>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</si>
  <si>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</si>
  <si>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</si>
  <si>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</si>
  <si>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</si>
  <si>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</si>
  <si>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</si>
  <si>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</si>
  <si>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</si>
  <si>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</si>
  <si>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</si>
  <si>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</si>
  <si>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</si>
  <si>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</si>
  <si>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</si>
  <si>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</si>
  <si>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</si>
  <si>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</si>
  <si>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</si>
  <si>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</si>
  <si>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</si>
  <si>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</si>
  <si>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</si>
  <si>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</si>
  <si>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</si>
  <si>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</si>
  <si>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</si>
  <si>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</si>
  <si>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</si>
  <si>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</si>
  <si>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</si>
  <si>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</si>
  <si>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</si>
  <si>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</si>
  <si>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</si>
  <si>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</si>
  <si>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</si>
  <si>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</si>
  <si>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</si>
  <si>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</si>
  <si>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REGION DE MURCIA</t>
  </si>
  <si>
    <t>Provincias</t>
  </si>
  <si>
    <t>MURCIA</t>
  </si>
  <si>
    <t>Resumenes por Partidos Judiciales</t>
  </si>
  <si>
    <t>SAN JAVIER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</si>
</sst>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A+E/ATtW18ZnlNWRnAk2DioymyF/sBzZYkuY1diNZzlQbm+cr+AN5EQzgOEWP5Tfu5vqMDiqeTbpdYyR6vhCw==" saltValue="aP//uWVR2nh45mwXujMb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REGION DE MURCIA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100</v>
      </c>
      <c r="D10" s="224">
        <f>IF(ISNUMBER(Datos!I10),Datos!I10," - ")</f>
        <v>100</v>
      </c>
      <c r="E10" s="225">
        <f>IF(ISNUMBER(Datos!J10),Datos!J10," - ")</f>
        <v>55</v>
      </c>
      <c r="F10" s="225">
        <f>IF(ISNUMBER(Datos!K10),Datos!K10," - ")</f>
        <v>35</v>
      </c>
      <c r="G10" s="1033" t="str">
        <f>IF(Datos!E10&lt;&gt;"",Datos!E10,Datos!D10)</f>
        <v>37</v>
      </c>
      <c r="H10" s="226">
        <f>IF(ISNUMBER(Datos!L10),Datos!L10," - ")</f>
        <v>120</v>
      </c>
      <c r="I10" s="1043" t="str">
        <f>IF(ISNUMBER(Datos!AS10/Datos!BM10),Datos!AS10/Datos!BM10," - ")</f>
        <v xml:space="preserve"> - </v>
      </c>
      <c r="J10" s="1044">
        <f>IF(ISNUMBER(Datos!BY10/Datos!CN10),Datos!BY10/Datos!CN10," - ")</f>
        <v>0</v>
      </c>
      <c r="K10" s="229">
        <f t="shared" ref="K10:K12" si="1">IF(ISNUMBER((E10-F10)/C10),(E10-F10)/C10," - ")</f>
        <v>0.2</v>
      </c>
      <c r="L10" s="1024">
        <f>IF(ISNUMBER(NºAsuntos!I10/NºAsuntos!G10),(NºAsuntos!I10/NºAsuntos!G10)*11," - ")</f>
        <v>37.714285714285715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13.516625310173698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100</v>
      </c>
      <c r="D13" s="1048">
        <f>SUBTOTAL(9,D9:D12)</f>
        <v>100</v>
      </c>
      <c r="E13" s="1049">
        <f>SUBTOTAL(9,E9:E12)</f>
        <v>55</v>
      </c>
      <c r="F13" s="1050">
        <f>SUBTOTAL(9,F9:F12)</f>
        <v>35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3535</v>
      </c>
      <c r="D16" s="224">
        <f>IF(ISNUMBER(IF(D_I="SI",Datos!I16,Datos!I16+Datos!AC16)),IF(D_I="SI",Datos!I16,Datos!I16+Datos!AC16)," - ")</f>
        <v>3596</v>
      </c>
      <c r="E16" s="225">
        <f>IF(ISNUMBER(IF(D_I="SI",Datos!J16,Datos!J16+Datos!AD16)),IF(D_I="SI",Datos!J16,Datos!J16+Datos!AD16)," - ")</f>
        <v>7891</v>
      </c>
      <c r="F16" s="225">
        <f>IF(ISNUMBER(IF(D_I="SI",Datos!K16,Datos!K16+Datos!AE16)),IF(D_I="SI",Datos!K16,Datos!K16+Datos!AE16)," - ")</f>
        <v>6687</v>
      </c>
      <c r="G16" s="1033" t="str">
        <f>IF(Datos!E16&lt;&gt;"",Datos!E16,Datos!D16)</f>
        <v>04</v>
      </c>
      <c r="H16" s="226">
        <f>IF(ISNUMBER(IF(D_I="SI",Datos!L16,Datos!L16+Datos!AF16)),IF(D_I="SI",Datos!L16,Datos!L16+Datos!AF16)," - ")</f>
        <v>4739</v>
      </c>
      <c r="I16" s="1043" t="str">
        <f>IF(ISNUMBER(Datos!AS16/Datos!BM16),Datos!AS16/Datos!BM16," - ")</f>
        <v xml:space="preserve"> - </v>
      </c>
      <c r="J16" s="1044">
        <f>IF(ISNUMBER(Datos!BY16/Datos!CN16),Datos!BY16/Datos!CN16," - ")</f>
        <v>0</v>
      </c>
      <c r="K16" s="229">
        <f t="shared" si="3"/>
        <v>0.34059405940594062</v>
      </c>
      <c r="L16" s="1024">
        <f>IF(ISNUMBER(NºAsuntos!I16/NºAsuntos!G16),(NºAsuntos!I16/NºAsuntos!G16)*11," - ")</f>
        <v>7.7955735008224911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177</v>
      </c>
      <c r="D17" s="224">
        <f>IF(ISNUMBER(IF(D_I="SI",Datos!I17,Datos!I17+Datos!AC17)),IF(D_I="SI",Datos!I17,Datos!I17+Datos!AC17)," - ")</f>
        <v>163</v>
      </c>
      <c r="E17" s="225">
        <f>IF(ISNUMBER(IF(D_I="SI",Datos!J17,Datos!J17+Datos!AD17)),IF(D_I="SI",Datos!J17,Datos!J17+Datos!AD17)," - ")</f>
        <v>661</v>
      </c>
      <c r="F17" s="225">
        <f>IF(ISNUMBER(IF(D_I="SI",Datos!K17,Datos!K17+Datos!AE17)),IF(D_I="SI",Datos!K17,Datos!K17+Datos!AE17)," - ")</f>
        <v>547</v>
      </c>
      <c r="G17" s="1033" t="str">
        <f>IF(Datos!E17&lt;&gt;"",Datos!E17,Datos!D17)</f>
        <v>37</v>
      </c>
      <c r="H17" s="226">
        <f>IF(ISNUMBER(IF(D_I="SI",Datos!L17,Datos!L17+Datos!AF17)),IF(D_I="SI",Datos!L17,Datos!L17+Datos!AF17)," - ")</f>
        <v>291</v>
      </c>
      <c r="I17" s="1043" t="str">
        <f>IF(ISNUMBER(Datos!AS17/Datos!BM17),Datos!AS17/Datos!BM17," - ")</f>
        <v xml:space="preserve"> - </v>
      </c>
      <c r="J17" s="1044" t="str">
        <f>IF(ISNUMBER((Datos!BY17+Datos!BZ17)/Datos!CN17),(Datos!BY17+Datos!BZ17)/Datos!CN17," - ")</f>
        <v xml:space="preserve"> - </v>
      </c>
      <c r="K17" s="229">
        <f t="shared" si="3"/>
        <v>0.64406779661016944</v>
      </c>
      <c r="L17" s="1024">
        <f>IF(ISNUMBER(NºAsuntos!I17/NºAsuntos!G17),(NºAsuntos!I17/NºAsuntos!G17)*11," - ")</f>
        <v>5.8519195612431441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3712</v>
      </c>
      <c r="D18" s="1048">
        <f>SUBTOTAL(9,D15:D17)</f>
        <v>3759</v>
      </c>
      <c r="E18" s="1049">
        <f>SUBTOTAL(9,E15:E17)</f>
        <v>8552</v>
      </c>
      <c r="F18" s="1049">
        <f>SUBTOTAL(9,F15:F17)</f>
        <v>7234</v>
      </c>
      <c r="G18" s="1051" t="str">
        <f ca="1">INDIRECT(CONCATENATE("G",ROW()-1))</f>
        <v>37</v>
      </c>
      <c r="H18" s="1052">
        <f ca="1">SUMIF(G$14:G17,G18,H$14:H17)</f>
        <v>291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3812</v>
      </c>
      <c r="D19" s="1070">
        <f>SUBTOTAL(9,D9:D18)</f>
        <v>3859</v>
      </c>
      <c r="E19" s="1071">
        <f>SUBTOTAL(9,E9:E18)</f>
        <v>8607</v>
      </c>
      <c r="F19" s="1071">
        <f>SUBTOTAL(9,F9:F18)</f>
        <v>7269</v>
      </c>
      <c r="G19" s="1072"/>
      <c r="H19" s="1073">
        <f ca="1">SUMIF(B9:B18,"TOTAL",H9:H18)</f>
        <v>291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0B3W5bc8h/JFYCPQyouS5Z4ow1b0EgG/xhAt85yDR+38p97hJcW9JTjsUszdCz5Zs8uabMaQaieBYQV5NyJDw==" saltValue="sr0WflE5zBxYT2kV644Mw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GAE7FcqgoFkQPwx+uoUKip+g2+kkGW2AhgogduSaZtSBGrTfAHaz04JeMYFzGi4OjP3JLrhflebdrdEKt4MHg==" saltValue="dfdjiKCKGWVDi0Fou5U2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100</v>
      </c>
      <c r="J10" s="180">
        <v>55</v>
      </c>
      <c r="K10" s="180">
        <v>35</v>
      </c>
      <c r="L10" s="180">
        <v>120</v>
      </c>
      <c r="M10" s="180">
        <v>20</v>
      </c>
      <c r="N10" s="180">
        <v>4</v>
      </c>
      <c r="O10" s="180">
        <v>4</v>
      </c>
      <c r="P10" s="180">
        <v>7</v>
      </c>
      <c r="Q10" s="180">
        <v>4</v>
      </c>
      <c r="R10" s="180">
        <v>31</v>
      </c>
      <c r="S10" s="180">
        <v>105</v>
      </c>
      <c r="T10" s="180">
        <v>94</v>
      </c>
      <c r="U10" s="180">
        <v>99</v>
      </c>
      <c r="V10" s="180">
        <v>100</v>
      </c>
      <c r="W10" s="180">
        <v>52</v>
      </c>
      <c r="X10" s="187">
        <v>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105</v>
      </c>
      <c r="AZ10" s="129">
        <f t="shared" si="0"/>
        <v>94</v>
      </c>
      <c r="BA10" s="129">
        <f t="shared" si="0"/>
        <v>99</v>
      </c>
      <c r="BB10" s="129">
        <f t="shared" si="0"/>
        <v>100</v>
      </c>
      <c r="BC10" s="125">
        <f t="shared" si="0"/>
        <v>52</v>
      </c>
      <c r="BD10" s="126">
        <f>IF(ISNUMBER(BA10/AZ10),BA10/AZ10," - ")</f>
        <v>1.053191489361702</v>
      </c>
      <c r="BE10" s="127">
        <f>IF(ISNUMBER(BB10/BA10),BB10/BA10, " - ")</f>
        <v>1.0101010101010102</v>
      </c>
      <c r="BF10" s="127">
        <f>IF(ISNUMBER(BC10/BA10),BC10/BA10, " - ")</f>
        <v>0.5252525252525253</v>
      </c>
      <c r="BG10" s="195">
        <f>IF(ISNUMBER((AY10+AZ10)/BA10),(AY10+AZ10)/BA10," - ")</f>
        <v>2.0101010101010099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7026</v>
      </c>
      <c r="J12" s="182">
        <v>5869</v>
      </c>
      <c r="K12" s="182">
        <v>5647</v>
      </c>
      <c r="L12" s="182">
        <v>7212</v>
      </c>
      <c r="M12" s="182">
        <v>1085</v>
      </c>
      <c r="N12" s="182">
        <v>2495</v>
      </c>
      <c r="O12" s="180">
        <v>2461</v>
      </c>
      <c r="P12" s="182">
        <v>1672</v>
      </c>
      <c r="Q12" s="182">
        <v>1740</v>
      </c>
      <c r="R12" s="182">
        <v>7024</v>
      </c>
      <c r="S12" s="182">
        <v>6394</v>
      </c>
      <c r="T12" s="182">
        <v>6614</v>
      </c>
      <c r="U12" s="182">
        <v>5924</v>
      </c>
      <c r="V12" s="182">
        <v>7026</v>
      </c>
      <c r="W12" s="182">
        <v>1310</v>
      </c>
      <c r="X12" s="188">
        <v>2439</v>
      </c>
      <c r="Y12" s="190">
        <v>150</v>
      </c>
      <c r="Z12" s="180">
        <v>464</v>
      </c>
      <c r="AA12" s="180">
        <v>398</v>
      </c>
      <c r="AB12" s="180">
        <v>216</v>
      </c>
      <c r="AC12" s="182">
        <v>0</v>
      </c>
      <c r="AD12" s="182">
        <v>0</v>
      </c>
      <c r="AE12" s="182">
        <v>0</v>
      </c>
      <c r="AF12" s="188">
        <v>0</v>
      </c>
      <c r="AG12" s="201">
        <v>181</v>
      </c>
      <c r="AH12" s="182">
        <v>319</v>
      </c>
      <c r="AI12" s="182">
        <v>326</v>
      </c>
      <c r="AJ12" s="202">
        <v>150</v>
      </c>
      <c r="AK12" s="181">
        <v>0</v>
      </c>
      <c r="AL12" s="182">
        <v>0</v>
      </c>
      <c r="AM12" s="182">
        <v>0</v>
      </c>
      <c r="AN12" s="188">
        <v>0</v>
      </c>
      <c r="AO12" s="258">
        <v>7</v>
      </c>
      <c r="AP12" s="154">
        <v>7</v>
      </c>
      <c r="AQ12" s="154">
        <v>7</v>
      </c>
      <c r="AR12" s="153">
        <v>7</v>
      </c>
      <c r="AS12" s="339" t="s">
        <v>794</v>
      </c>
      <c r="AT12" s="202"/>
      <c r="AU12" s="201"/>
      <c r="AV12" s="202"/>
      <c r="AW12" s="201"/>
      <c r="AX12" s="202"/>
      <c r="AY12" s="126">
        <f t="shared" si="1"/>
        <v>6575</v>
      </c>
      <c r="AZ12" s="127">
        <f t="shared" si="1"/>
        <v>6933</v>
      </c>
      <c r="BA12" s="127">
        <f t="shared" si="1"/>
        <v>6250</v>
      </c>
      <c r="BB12" s="127">
        <f t="shared" si="1"/>
        <v>7176</v>
      </c>
      <c r="BC12" s="125">
        <f>IF(ISNUMBER(X12),X12," - ")</f>
        <v>2439</v>
      </c>
      <c r="BD12" s="126">
        <f t="shared" si="2"/>
        <v>0.90148564834847833</v>
      </c>
      <c r="BE12" s="127">
        <f t="shared" si="3"/>
        <v>1.1481600000000001</v>
      </c>
      <c r="BF12" s="127">
        <f t="shared" si="4"/>
        <v>0.39023999999999998</v>
      </c>
      <c r="BG12" s="195">
        <f t="shared" si="5"/>
        <v>2.1612800000000001</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7126</v>
      </c>
      <c r="J13" s="183">
        <f t="shared" si="6"/>
        <v>5924</v>
      </c>
      <c r="K13" s="183">
        <f t="shared" si="6"/>
        <v>5682</v>
      </c>
      <c r="L13" s="183">
        <f t="shared" si="6"/>
        <v>7332</v>
      </c>
      <c r="M13" s="183">
        <f t="shared" si="6"/>
        <v>1105</v>
      </c>
      <c r="N13" s="183">
        <f t="shared" si="6"/>
        <v>2499</v>
      </c>
      <c r="O13" s="183">
        <f t="shared" si="6"/>
        <v>2465</v>
      </c>
      <c r="P13" s="183">
        <f t="shared" si="6"/>
        <v>1679</v>
      </c>
      <c r="Q13" s="183">
        <f t="shared" si="6"/>
        <v>1744</v>
      </c>
      <c r="R13" s="183">
        <f t="shared" si="6"/>
        <v>7055</v>
      </c>
      <c r="S13" s="183">
        <f t="shared" si="6"/>
        <v>6499</v>
      </c>
      <c r="T13" s="183">
        <f t="shared" si="6"/>
        <v>6708</v>
      </c>
      <c r="U13" s="183">
        <f t="shared" si="6"/>
        <v>6023</v>
      </c>
      <c r="V13" s="183">
        <f t="shared" si="6"/>
        <v>7126</v>
      </c>
      <c r="W13" s="183">
        <f t="shared" si="6"/>
        <v>1362</v>
      </c>
      <c r="X13" s="183">
        <f t="shared" si="6"/>
        <v>2448</v>
      </c>
      <c r="Y13" s="183">
        <f t="shared" si="6"/>
        <v>150</v>
      </c>
      <c r="Z13" s="183">
        <f t="shared" si="6"/>
        <v>464</v>
      </c>
      <c r="AA13" s="183">
        <f t="shared" si="6"/>
        <v>398</v>
      </c>
      <c r="AB13" s="183">
        <f t="shared" si="6"/>
        <v>216</v>
      </c>
      <c r="AC13" s="183">
        <f t="shared" si="6"/>
        <v>0</v>
      </c>
      <c r="AD13" s="183">
        <f t="shared" si="6"/>
        <v>0</v>
      </c>
      <c r="AE13" s="183">
        <f t="shared" si="6"/>
        <v>0</v>
      </c>
      <c r="AF13" s="183">
        <f>SUBTOTAL(9,AF9:AF12)</f>
        <v>0</v>
      </c>
      <c r="AG13" s="183">
        <f t="shared" ref="AG13:AT13" si="7">SUBTOTAL(9,AG8:AG12)</f>
        <v>181</v>
      </c>
      <c r="AH13" s="183">
        <f t="shared" si="7"/>
        <v>319</v>
      </c>
      <c r="AI13" s="183">
        <f t="shared" si="7"/>
        <v>326</v>
      </c>
      <c r="AJ13" s="183">
        <f t="shared" si="7"/>
        <v>150</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6680</v>
      </c>
      <c r="AZ13" s="183">
        <f>SUBTOTAL(9,AZ8:AZ12)</f>
        <v>7027</v>
      </c>
      <c r="BA13" s="183">
        <f>SUBTOTAL(9,BA8:BA12)</f>
        <v>6349</v>
      </c>
      <c r="BB13" s="183">
        <f>SUBTOTAL(9,BB8:BB12)</f>
        <v>7276</v>
      </c>
      <c r="BC13" s="183">
        <f>SUBTOTAL(9,BC8:BC12)</f>
        <v>2491</v>
      </c>
      <c r="BD13" s="204">
        <f>IF(ISNUMBER(BA13/AZ13),BA13/AZ13," - ")</f>
        <v>0.90351501351928276</v>
      </c>
      <c r="BE13" s="205">
        <f>IF(ISNUMBER(BB13/BA13),BB13/BA13, " - ")</f>
        <v>1.1460072452354702</v>
      </c>
      <c r="BF13" s="205">
        <f>IF(ISNUMBER(BC13/BA13),BC13/BA13, " - ")</f>
        <v>0.39234525122066466</v>
      </c>
      <c r="BG13" s="206">
        <f>IF(ISNUMBER((AY13+AZ13)/BA13),(AY13+AZ13)/BA13," - ")</f>
        <v>2.158922664986612</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3596</v>
      </c>
      <c r="J16" s="182">
        <v>7891</v>
      </c>
      <c r="K16" s="182">
        <v>6687</v>
      </c>
      <c r="L16" s="182">
        <v>4739</v>
      </c>
      <c r="M16" s="182">
        <v>840</v>
      </c>
      <c r="N16" s="182">
        <v>4409</v>
      </c>
      <c r="O16" s="180">
        <v>37</v>
      </c>
      <c r="P16" s="182">
        <v>162</v>
      </c>
      <c r="Q16" s="182">
        <v>122</v>
      </c>
      <c r="R16" s="182">
        <v>452</v>
      </c>
      <c r="S16" s="182">
        <v>3169</v>
      </c>
      <c r="T16" s="182">
        <v>7042</v>
      </c>
      <c r="U16" s="182">
        <v>6756</v>
      </c>
      <c r="V16" s="182">
        <v>3596</v>
      </c>
      <c r="W16" s="182">
        <v>929</v>
      </c>
      <c r="X16" s="188">
        <v>3623</v>
      </c>
      <c r="Y16" s="201">
        <v>0</v>
      </c>
      <c r="Z16" s="182">
        <v>0</v>
      </c>
      <c r="AA16" s="182">
        <v>0</v>
      </c>
      <c r="AB16" s="182">
        <v>0</v>
      </c>
      <c r="AC16" s="182">
        <v>20</v>
      </c>
      <c r="AD16" s="182">
        <v>2</v>
      </c>
      <c r="AE16" s="182">
        <v>8</v>
      </c>
      <c r="AF16" s="188">
        <v>14</v>
      </c>
      <c r="AG16" s="201">
        <v>0</v>
      </c>
      <c r="AH16" s="182">
        <v>0</v>
      </c>
      <c r="AI16" s="182">
        <v>0</v>
      </c>
      <c r="AJ16" s="202">
        <v>0</v>
      </c>
      <c r="AK16" s="181">
        <v>14</v>
      </c>
      <c r="AL16" s="182">
        <v>86</v>
      </c>
      <c r="AM16" s="182">
        <v>80</v>
      </c>
      <c r="AN16" s="188">
        <v>20</v>
      </c>
      <c r="AO16" s="258">
        <v>7</v>
      </c>
      <c r="AP16" s="154">
        <v>7</v>
      </c>
      <c r="AQ16" s="154">
        <v>7</v>
      </c>
      <c r="AR16" s="154">
        <v>7</v>
      </c>
      <c r="AS16" s="339" t="s">
        <v>487</v>
      </c>
      <c r="AT16" s="202"/>
      <c r="AU16" s="201"/>
      <c r="AV16" s="202"/>
      <c r="AW16" s="201"/>
      <c r="AX16" s="202"/>
      <c r="AY16" s="126">
        <f t="shared" si="9"/>
        <v>3169</v>
      </c>
      <c r="AZ16" s="127">
        <f t="shared" si="9"/>
        <v>7042</v>
      </c>
      <c r="BA16" s="127">
        <f t="shared" si="9"/>
        <v>6756</v>
      </c>
      <c r="BB16" s="127">
        <f t="shared" si="9"/>
        <v>3596</v>
      </c>
      <c r="BC16" s="125">
        <f>IF(ISNUMBER(W16),W16," - ")</f>
        <v>929</v>
      </c>
      <c r="BD16" s="126">
        <f t="shared" ref="BD16" si="11">IF(ISNUMBER(BA16/AZ16),BA16/AZ16," - ")</f>
        <v>0.95938653791536499</v>
      </c>
      <c r="BE16" s="127">
        <f t="shared" ref="BE16" si="12">IF(ISNUMBER(BB16/BA16),BB16/BA16, " - ")</f>
        <v>0.5322676139727649</v>
      </c>
      <c r="BF16" s="127">
        <f t="shared" ref="BF16" si="13">IF(ISNUMBER(BC16/BA16),BC16/BA16, " - ")</f>
        <v>0.13750740082889285</v>
      </c>
      <c r="BG16" s="195">
        <f t="shared" si="10"/>
        <v>1.5113972764949675</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163</v>
      </c>
      <c r="J17" s="182">
        <v>661</v>
      </c>
      <c r="K17" s="182">
        <v>547</v>
      </c>
      <c r="L17" s="182">
        <v>291</v>
      </c>
      <c r="M17" s="182">
        <v>213</v>
      </c>
      <c r="N17" s="182">
        <v>265</v>
      </c>
      <c r="O17" s="182">
        <v>0</v>
      </c>
      <c r="P17" s="182">
        <v>10</v>
      </c>
      <c r="Q17" s="182">
        <v>10</v>
      </c>
      <c r="R17" s="182">
        <v>7</v>
      </c>
      <c r="S17" s="182">
        <v>143</v>
      </c>
      <c r="T17" s="182">
        <v>687</v>
      </c>
      <c r="U17" s="182">
        <v>671</v>
      </c>
      <c r="V17" s="182">
        <v>163</v>
      </c>
      <c r="W17" s="182">
        <v>141</v>
      </c>
      <c r="X17" s="188">
        <v>324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143</v>
      </c>
      <c r="AZ17" s="129">
        <f t="shared" si="14"/>
        <v>687</v>
      </c>
      <c r="BA17" s="129">
        <f t="shared" si="14"/>
        <v>671</v>
      </c>
      <c r="BB17" s="129">
        <f t="shared" si="14"/>
        <v>163</v>
      </c>
      <c r="BC17" s="125">
        <f>IF(ISNUMBER(W17),W17," - ")</f>
        <v>141</v>
      </c>
      <c r="BD17" s="126">
        <f>IF(ISNUMBER(BA17/AZ17),BA17/AZ17," - ")</f>
        <v>0.97671033478893743</v>
      </c>
      <c r="BE17" s="127">
        <f>IF(ISNUMBER(BB17/BA17),BB17/BA17, " - ")</f>
        <v>0.24292101341281669</v>
      </c>
      <c r="BF17" s="127">
        <f>IF(ISNUMBER(BC17/BA17),BC17/BA17, " - ")</f>
        <v>0.21013412816691504</v>
      </c>
      <c r="BG17" s="195">
        <f>IF(ISNUMBER((AY17+AZ17)/BA17),(AY17+AZ17)/BA17," - ")</f>
        <v>1.2369597615499255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3759</v>
      </c>
      <c r="J18" s="183">
        <f t="shared" si="15"/>
        <v>8552</v>
      </c>
      <c r="K18" s="183">
        <f t="shared" si="15"/>
        <v>7234</v>
      </c>
      <c r="L18" s="183">
        <f t="shared" si="15"/>
        <v>5030</v>
      </c>
      <c r="M18" s="183">
        <f t="shared" si="15"/>
        <v>1053</v>
      </c>
      <c r="N18" s="183">
        <f t="shared" si="15"/>
        <v>4674</v>
      </c>
      <c r="O18" s="183">
        <f t="shared" si="15"/>
        <v>37</v>
      </c>
      <c r="P18" s="183">
        <f t="shared" si="15"/>
        <v>172</v>
      </c>
      <c r="Q18" s="183">
        <f t="shared" si="15"/>
        <v>132</v>
      </c>
      <c r="R18" s="183">
        <f t="shared" si="15"/>
        <v>459</v>
      </c>
      <c r="S18" s="183">
        <f t="shared" si="15"/>
        <v>3312</v>
      </c>
      <c r="T18" s="183">
        <f t="shared" si="15"/>
        <v>7729</v>
      </c>
      <c r="U18" s="183">
        <f t="shared" si="15"/>
        <v>7427</v>
      </c>
      <c r="V18" s="183">
        <f t="shared" si="15"/>
        <v>3759</v>
      </c>
      <c r="W18" s="183">
        <f t="shared" si="15"/>
        <v>1070</v>
      </c>
      <c r="X18" s="183">
        <f t="shared" si="15"/>
        <v>3947</v>
      </c>
      <c r="Y18" s="183">
        <f t="shared" si="15"/>
        <v>0</v>
      </c>
      <c r="Z18" s="183">
        <f t="shared" si="15"/>
        <v>0</v>
      </c>
      <c r="AA18" s="183">
        <f t="shared" si="15"/>
        <v>0</v>
      </c>
      <c r="AB18" s="183">
        <f t="shared" si="15"/>
        <v>0</v>
      </c>
      <c r="AC18" s="183">
        <f t="shared" si="15"/>
        <v>20</v>
      </c>
      <c r="AD18" s="183">
        <f t="shared" si="15"/>
        <v>2</v>
      </c>
      <c r="AE18" s="183">
        <f t="shared" si="15"/>
        <v>8</v>
      </c>
      <c r="AF18" s="183">
        <f t="shared" si="15"/>
        <v>14</v>
      </c>
      <c r="AG18" s="183">
        <f t="shared" si="15"/>
        <v>0</v>
      </c>
      <c r="AH18" s="183">
        <f t="shared" si="15"/>
        <v>0</v>
      </c>
      <c r="AI18" s="183">
        <f t="shared" si="15"/>
        <v>0</v>
      </c>
      <c r="AJ18" s="183">
        <f t="shared" si="15"/>
        <v>0</v>
      </c>
      <c r="AK18" s="183">
        <f t="shared" si="15"/>
        <v>14</v>
      </c>
      <c r="AL18" s="183">
        <f t="shared" si="15"/>
        <v>86</v>
      </c>
      <c r="AM18" s="183">
        <f t="shared" si="15"/>
        <v>80</v>
      </c>
      <c r="AN18" s="183">
        <f t="shared" si="15"/>
        <v>20</v>
      </c>
      <c r="AO18" s="183">
        <f t="shared" si="15"/>
        <v>8</v>
      </c>
      <c r="AP18" s="183">
        <f t="shared" si="15"/>
        <v>7</v>
      </c>
      <c r="AQ18" s="183">
        <f t="shared" si="15"/>
        <v>7</v>
      </c>
      <c r="AR18" s="183">
        <f t="shared" si="15"/>
        <v>7</v>
      </c>
      <c r="AS18" s="183">
        <f t="shared" si="15"/>
        <v>0</v>
      </c>
      <c r="AT18" s="183">
        <f t="shared" si="15"/>
        <v>0</v>
      </c>
      <c r="AU18" s="203"/>
      <c r="AV18" s="132"/>
      <c r="AW18" s="203"/>
      <c r="AX18" s="132"/>
      <c r="AY18" s="183">
        <f>SUBTOTAL(9,AY14:AY17)</f>
        <v>3312</v>
      </c>
      <c r="AZ18" s="183">
        <f>SUBTOTAL(9,AZ14:AZ17)</f>
        <v>7729</v>
      </c>
      <c r="BA18" s="183">
        <f>SUBTOTAL(9,BA14:BA17)</f>
        <v>7427</v>
      </c>
      <c r="BB18" s="183">
        <f>SUBTOTAL(9,BB14:BB17)</f>
        <v>3759</v>
      </c>
      <c r="BC18" s="183">
        <f>SUBTOTAL(9,BC14:BC17)</f>
        <v>1070</v>
      </c>
      <c r="BD18" s="204">
        <f>IF(ISNUMBER(BA18/AZ18),BA18/AZ18," - ")</f>
        <v>0.96092638116185791</v>
      </c>
      <c r="BE18" s="205">
        <f>IF(ISNUMBER(BB18/BA18),BB18/BA18, " - ")</f>
        <v>0.50612629594721958</v>
      </c>
      <c r="BF18" s="205">
        <f>IF(ISNUMBER(BC18/BA18),BC18/BA18, " - ")</f>
        <v>0.1440689376598896</v>
      </c>
      <c r="BG18" s="206">
        <f>IF(ISNUMBER((AY18+AZ18)/BA18),(AY18+AZ18)/BA18," - ")</f>
        <v>1.4866029352362999</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10885</v>
      </c>
      <c r="J19" s="134">
        <f t="shared" si="18"/>
        <v>14476</v>
      </c>
      <c r="K19" s="134">
        <f t="shared" si="18"/>
        <v>12916</v>
      </c>
      <c r="L19" s="134">
        <f t="shared" si="18"/>
        <v>12362</v>
      </c>
      <c r="M19" s="134">
        <f t="shared" si="18"/>
        <v>2158</v>
      </c>
      <c r="N19" s="134">
        <f t="shared" si="18"/>
        <v>7173</v>
      </c>
      <c r="O19" s="134">
        <f t="shared" si="18"/>
        <v>2502</v>
      </c>
      <c r="P19" s="134">
        <f t="shared" si="18"/>
        <v>1851</v>
      </c>
      <c r="Q19" s="134">
        <f t="shared" si="18"/>
        <v>1876</v>
      </c>
      <c r="R19" s="134">
        <f t="shared" si="18"/>
        <v>7514</v>
      </c>
      <c r="S19" s="134">
        <f t="shared" si="18"/>
        <v>9811</v>
      </c>
      <c r="T19" s="134">
        <f t="shared" si="18"/>
        <v>14437</v>
      </c>
      <c r="U19" s="134">
        <f t="shared" si="18"/>
        <v>13450</v>
      </c>
      <c r="V19" s="134">
        <f t="shared" si="18"/>
        <v>10885</v>
      </c>
      <c r="W19" s="134">
        <f t="shared" si="18"/>
        <v>2432</v>
      </c>
      <c r="X19" s="134">
        <f t="shared" si="18"/>
        <v>6395</v>
      </c>
      <c r="Y19" s="134">
        <f t="shared" si="18"/>
        <v>150</v>
      </c>
      <c r="Z19" s="134">
        <f t="shared" si="18"/>
        <v>464</v>
      </c>
      <c r="AA19" s="134">
        <f t="shared" si="18"/>
        <v>398</v>
      </c>
      <c r="AB19" s="134">
        <f t="shared" si="18"/>
        <v>216</v>
      </c>
      <c r="AC19" s="134">
        <f t="shared" si="18"/>
        <v>20</v>
      </c>
      <c r="AD19" s="134">
        <f t="shared" si="18"/>
        <v>2</v>
      </c>
      <c r="AE19" s="134">
        <f t="shared" si="18"/>
        <v>8</v>
      </c>
      <c r="AF19" s="134">
        <f t="shared" si="18"/>
        <v>14</v>
      </c>
      <c r="AG19" s="134">
        <f t="shared" si="18"/>
        <v>181</v>
      </c>
      <c r="AH19" s="134">
        <f t="shared" si="18"/>
        <v>319</v>
      </c>
      <c r="AI19" s="134">
        <f t="shared" si="18"/>
        <v>326</v>
      </c>
      <c r="AJ19" s="134">
        <f t="shared" si="18"/>
        <v>150</v>
      </c>
      <c r="AK19" s="134">
        <f t="shared" si="18"/>
        <v>14</v>
      </c>
      <c r="AL19" s="134">
        <f t="shared" si="18"/>
        <v>86</v>
      </c>
      <c r="AM19" s="134">
        <f t="shared" si="18"/>
        <v>80</v>
      </c>
      <c r="AN19" s="209">
        <f t="shared" si="18"/>
        <v>20</v>
      </c>
      <c r="AO19" s="210">
        <v>8</v>
      </c>
      <c r="AP19" s="210">
        <v>7</v>
      </c>
      <c r="AQ19" s="210">
        <v>7</v>
      </c>
      <c r="AR19" s="210">
        <v>7</v>
      </c>
      <c r="AS19" s="152">
        <f t="shared" si="18"/>
        <v>0</v>
      </c>
      <c r="AT19" s="152">
        <f t="shared" si="18"/>
        <v>0</v>
      </c>
      <c r="AU19" s="210"/>
      <c r="AV19" s="211"/>
      <c r="AW19" s="210"/>
      <c r="AX19" s="211"/>
      <c r="AY19" s="133">
        <f>SUBTOTAL(9,AY9:AY18)</f>
        <v>9992</v>
      </c>
      <c r="AZ19" s="134">
        <f>SUBTOTAL(9,AZ9:AZ18)</f>
        <v>14756</v>
      </c>
      <c r="BA19" s="134">
        <f>SUBTOTAL(9,BA9:BA18)</f>
        <v>13776</v>
      </c>
      <c r="BB19" s="134">
        <f>SUBTOTAL(9,BB9:BB18)</f>
        <v>11035</v>
      </c>
      <c r="BC19" s="135">
        <f>SUBTOTAL(9,BC9:BC18)</f>
        <v>3561</v>
      </c>
      <c r="BD19" s="212">
        <f>IF(ISNUMBER(BA19/AZ19),BA19/AZ19," - ")</f>
        <v>0.93358633776091082</v>
      </c>
      <c r="BE19" s="209">
        <f>IF(ISNUMBER(BB19/BA19),BB19/BA19, " - ")</f>
        <v>0.80103077816492452</v>
      </c>
      <c r="BF19" s="209">
        <f>IF(ISNUMBER(BC19/BA19),BC19/BA19, " - ")</f>
        <v>0.25849303135888502</v>
      </c>
      <c r="BG19" s="135">
        <f>IF(ISNUMBER((AY19+AZ19)/BA19),(AY19+AZ19)/BA19," - ")</f>
        <v>1.7964576074332173</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iad54JEOdbW/b/959L2uVcUL5M9ZjSqwFI0Muo52NXfhoGuzzNPrWYKCPWmh6/rhW7xRQdlyKfeMRNHF3Byhg==" saltValue="nG+DREgDudnhhDBghmzC+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DCESmQVPztXkmapl0m9d0P4i4jZHWVJDMHPvOkP9HqhvG/aU4aFHeCzPY97C6Idm1cMTXni/EFNQWsIFrRQ8w==" saltValue="4GWESkIHaE8yjRy4mjDSV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SAN JAVIER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100</v>
      </c>
      <c r="G10" s="332">
        <f>IF(ISNUMBER(Datos!I10),Datos!I10," - ")</f>
        <v>100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35</v>
      </c>
      <c r="AC10" s="225">
        <f>IF(ISNUMBER(Datos!Q10),Datos!Q10," - ")</f>
        <v>4</v>
      </c>
      <c r="AD10" s="333"/>
      <c r="AE10" s="483"/>
      <c r="AF10" s="331">
        <f>IF(ISNUMBER(Datos!L10),Datos!L10,"-")</f>
        <v>120</v>
      </c>
      <c r="AG10" s="333"/>
      <c r="AH10" s="333"/>
      <c r="AI10" s="333"/>
      <c r="AJ10" s="333"/>
      <c r="AK10" s="333"/>
      <c r="AL10" s="478"/>
      <c r="AM10" s="334">
        <f>IF(ISNUMBER(Datos!R10),Datos!R10," - ")</f>
        <v>31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20</v>
      </c>
      <c r="BD10" s="228">
        <f>IF(ISNUMBER(Datos!N10),Datos!N10," - ")</f>
        <v>4</v>
      </c>
      <c r="BE10" s="228" t="str">
        <f>IF(ISNUMBER(Datos!BW10),Datos!BW10," - ")</f>
        <v xml:space="preserve"> - </v>
      </c>
      <c r="BF10" s="227" t="str">
        <f>IF(ISNUMBER(Datos!BX10),Datos!BX10," - ")</f>
        <v xml:space="preserve"> - </v>
      </c>
      <c r="BG10" s="242">
        <f>IF(ISNUMBER(Datos!K10/Datos!J10),Datos!K10/Datos!J10," - ")</f>
        <v>0.63636363636363635</v>
      </c>
      <c r="BH10" s="259">
        <f>IF(ISNUMBER(((Datos!L10/Datos!K10)*11)/factor_trimestre),((Datos!L10/Datos!K10)*11)/factor_trimestre," - ")</f>
        <v>37.714285714285715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0.10714285714285714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464</v>
      </c>
      <c r="O12" s="333"/>
      <c r="P12" s="333"/>
      <c r="Q12" s="225">
        <f>IF(ISNUMBER(Datos!P12),Datos!P12,0)</f>
        <v>1672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1740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216</v>
      </c>
      <c r="AI12" s="333" t="str">
        <f>IF(ISNUMBER(Datos!CD12),Datos!CD12,"-")</f>
        <v>-</v>
      </c>
      <c r="AJ12" s="333" t="str">
        <f>IF(ISNUMBER(Datos!EN12),Datos!EN12," - ")</f>
        <v xml:space="preserve"> - </v>
      </c>
      <c r="AK12" s="333"/>
      <c r="AL12" s="478"/>
      <c r="AM12" s="334">
        <f>IF(ISNUMBER(Datos!R12),Datos!R12," - ")</f>
        <v>7024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1085</v>
      </c>
      <c r="BD12" s="228">
        <f>IF(ISNUMBER(Datos!N12),Datos!N12," - ")</f>
        <v>2495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0.95452392231170058</v>
      </c>
      <c r="BH12" s="259">
        <f>IF(ISNUMBER(((IF(J_V="SI",Datos!L12/Datos!K12,(Datos!L12+Datos!AB12)/(Datos!K12+Datos!AA12)))*11)/factor_trimestre),((IF(J_V="SI",Datos!L12/Datos!K12,(Datos!L12+Datos!AB12)/(Datos!K12+Datos!AA12)))*11)/factor_trimestre," - ")</f>
        <v>13.516625310173698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-9.5882684715172025E-3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7</v>
      </c>
      <c r="F13" s="897">
        <f t="shared" si="0"/>
        <v>100</v>
      </c>
      <c r="G13" s="897">
        <f t="shared" si="0"/>
        <v>100</v>
      </c>
      <c r="H13" s="898">
        <f t="shared" si="0"/>
        <v>0</v>
      </c>
      <c r="I13" s="897">
        <f t="shared" si="0"/>
        <v>0</v>
      </c>
      <c r="J13" s="866">
        <f t="shared" si="0"/>
        <v>0</v>
      </c>
      <c r="K13" s="866">
        <f t="shared" si="0"/>
        <v>0</v>
      </c>
      <c r="L13" s="898">
        <f t="shared" si="0"/>
        <v>0</v>
      </c>
      <c r="M13" s="898">
        <f t="shared" si="0"/>
        <v>0</v>
      </c>
      <c r="N13" s="898">
        <f t="shared" si="0"/>
        <v>464</v>
      </c>
      <c r="O13" s="899">
        <f t="shared" si="0"/>
        <v>0</v>
      </c>
      <c r="P13" s="899">
        <f t="shared" si="0"/>
        <v>0</v>
      </c>
      <c r="Q13" s="898">
        <f t="shared" si="0"/>
        <v>1679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35</v>
      </c>
      <c r="AC13" s="898">
        <f t="shared" si="1"/>
        <v>1744</v>
      </c>
      <c r="AD13" s="898">
        <f t="shared" si="1"/>
        <v>0</v>
      </c>
      <c r="AE13" s="898">
        <f t="shared" si="1"/>
        <v>0</v>
      </c>
      <c r="AF13" s="898">
        <f t="shared" si="1"/>
        <v>120</v>
      </c>
      <c r="AG13" s="898">
        <f t="shared" si="1"/>
        <v>0</v>
      </c>
      <c r="AH13" s="898">
        <f t="shared" si="1"/>
        <v>216</v>
      </c>
      <c r="AI13" s="898">
        <f t="shared" si="1"/>
        <v>0</v>
      </c>
      <c r="AJ13" s="898">
        <f t="shared" si="1"/>
        <v>0</v>
      </c>
      <c r="AK13" s="898">
        <f t="shared" si="1"/>
        <v>0</v>
      </c>
      <c r="AL13" s="898">
        <f t="shared" si="1"/>
        <v>0</v>
      </c>
      <c r="AM13" s="898">
        <f t="shared" si="1"/>
        <v>7055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1105</v>
      </c>
      <c r="BD13" s="898">
        <f t="shared" si="1"/>
        <v>2499</v>
      </c>
      <c r="BE13" s="898">
        <f t="shared" si="1"/>
        <v>0</v>
      </c>
      <c r="BF13" s="898">
        <f t="shared" si="1"/>
        <v>0</v>
      </c>
      <c r="BG13" s="898">
        <f>IF(ISNUMBER(Datos!K13/Datos!J13),Datos!K13/Datos!J13," - ")</f>
        <v>0.95914922349763676</v>
      </c>
      <c r="BH13" s="902">
        <f>IF(ISNUMBER(((Datos!L13/Datos!K13)*11)/factor_trimestre),((Datos!L13/Datos!K13)*11)/factor_trimestre," - ")</f>
        <v>14.194297782470962</v>
      </c>
      <c r="BI13" s="898">
        <f>IF(ISNUMBER('Resol  Asuntos'!D13/NºAsuntos!G13),'Resol  Asuntos'!D13/NºAsuntos!G13," - ")</f>
        <v>0.18174342105263158</v>
      </c>
      <c r="BJ13" s="898" t="str">
        <f>IF(ISNUMBER(Datos!CI13/Datos!CJ13),Datos!CI13/Datos!CJ13," - ")</f>
        <v xml:space="preserve"> - </v>
      </c>
      <c r="BK13" s="898">
        <f>SUBTOTAL(9,BK8:BK12)</f>
        <v>0</v>
      </c>
      <c r="BL13" s="898">
        <f>IF(ISNUMBER((I13-AB13+L13)/(F13)),(I13-AB13+L13)/(F13)," - ")</f>
        <v>-0.35</v>
      </c>
      <c r="BM13" s="903">
        <f>SUBTOTAL(9,BM9:BM12)</f>
        <v>9.755458867133994E-2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3535</v>
      </c>
      <c r="G16" s="597">
        <f>IF(ISNUMBER(IF(D_I="SI",Datos!I16,Datos!I16+Datos!AC16)),IF(D_I="SI",Datos!I16,Datos!I16+Datos!AC16)," - ")</f>
        <v>3596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162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6687</v>
      </c>
      <c r="AC16" s="225">
        <f>IF(ISNUMBER(Datos!Q16),Datos!Q16," - ")</f>
        <v>122</v>
      </c>
      <c r="AD16" s="333"/>
      <c r="AE16" s="483"/>
      <c r="AF16" s="595">
        <f>IF(ISNUMBER(IF(D_I="SI",Datos!L16,Datos!L16+Datos!AF16)),IF(D_I="SI",Datos!L16,Datos!L16+Datos!AF16)," - ")</f>
        <v>4739</v>
      </c>
      <c r="AG16" s="333"/>
      <c r="AH16" s="333"/>
      <c r="AI16" s="333"/>
      <c r="AJ16" s="333"/>
      <c r="AK16" s="333"/>
      <c r="AL16" s="478"/>
      <c r="AM16" s="334">
        <f>IF(ISNUMBER(Datos!R16),Datos!R16," - ")</f>
        <v>452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840</v>
      </c>
      <c r="BD16" s="228">
        <f>IF(ISNUMBER(Datos!N16),Datos!N16," - ")</f>
        <v>4409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0.84742111265999243</v>
      </c>
      <c r="BH16" s="259">
        <f>IF(ISNUMBER(((IF(D_I="SI",Datos!L16/Datos!K16,(Datos!L16+Datos!AF16)/(Datos!K16+Datos!AE16)))*11)/factor_trimestre),((IF(D_I="SI",Datos!L16/Datos!K16,(Datos!L16+Datos!AF16)/(Datos!K16+Datos!AE16)))*11)/factor_trimestre," - ")</f>
        <v>7.7955735008224911</v>
      </c>
      <c r="BI16" s="242">
        <f>IF(ISNUMBER('Resol  Asuntos'!D16/NºAsuntos!G16),'Resol  Asuntos'!D16/NºAsuntos!G16," - ")</f>
        <v>0.12561686855091969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163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547</v>
      </c>
      <c r="AC17" s="225">
        <f>IF(ISNUMBER(Datos!Q17),Datos!Q17," - ")</f>
        <v>10</v>
      </c>
      <c r="AD17" s="333"/>
      <c r="AE17" s="483"/>
      <c r="AF17" s="331">
        <f>IF(ISNUMBER(Datos!L17),Datos!L17,"-")</f>
        <v>291</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213</v>
      </c>
      <c r="BD17" s="228">
        <f>IF(ISNUMBER(Datos!N17),Datos!N17," - ")</f>
        <v>265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0.82753403933434189</v>
      </c>
      <c r="BH17" s="259">
        <f>IF(ISNUMBER(((IF(D_I="SI",Datos!L17/Datos!K17,(Datos!L17+Datos!AF17)/(Datos!K17+Datos!AE17)))*11)/factor_trimestre),((IF(D_I="SI",Datos!L17/Datos!K17,(Datos!L17+Datos!AF17)/(Datos!K17+Datos!AE17)))*11)/factor_trimestre," - ")</f>
        <v>5.8519195612431441</v>
      </c>
      <c r="BI17" s="242">
        <f>IF(ISNUMBER('Resol  Asuntos'!D17/NºAsuntos!G17),'Resol  Asuntos'!D17/NºAsuntos!G17," - ")</f>
        <v>0.38939670932358317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7</v>
      </c>
      <c r="F18" s="897">
        <f>SUBTOTAL(9,F15:F17)</f>
        <v>3535</v>
      </c>
      <c r="G18" s="897">
        <f>SUBTOTAL(9,G15:G17)</f>
        <v>3759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172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7234</v>
      </c>
      <c r="AC18" s="898">
        <f t="shared" si="4"/>
        <v>132</v>
      </c>
      <c r="AD18" s="898">
        <f t="shared" si="4"/>
        <v>0</v>
      </c>
      <c r="AE18" s="898">
        <f t="shared" si="4"/>
        <v>0</v>
      </c>
      <c r="AF18" s="898">
        <f t="shared" si="4"/>
        <v>5030</v>
      </c>
      <c r="AG18" s="898">
        <f t="shared" si="4"/>
        <v>0</v>
      </c>
      <c r="AH18" s="898">
        <f t="shared" si="4"/>
        <v>0</v>
      </c>
      <c r="AI18" s="898">
        <f t="shared" si="4"/>
        <v>0</v>
      </c>
      <c r="AJ18" s="898">
        <f t="shared" si="4"/>
        <v>0</v>
      </c>
      <c r="AK18" s="898">
        <f t="shared" si="4"/>
        <v>0</v>
      </c>
      <c r="AL18" s="898">
        <f t="shared" si="4"/>
        <v>0</v>
      </c>
      <c r="AM18" s="898">
        <f t="shared" si="4"/>
        <v>459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1053</v>
      </c>
      <c r="BD18" s="898">
        <f t="shared" si="4"/>
        <v>4674</v>
      </c>
      <c r="BE18" s="898">
        <f t="shared" si="4"/>
        <v>0</v>
      </c>
      <c r="BF18" s="898">
        <f t="shared" si="4"/>
        <v>0</v>
      </c>
      <c r="BG18" s="898">
        <f>IF(ISNUMBER(Datos!K18/Datos!J18),Datos!K18/Datos!J18," - ")</f>
        <v>0.84588400374181483</v>
      </c>
      <c r="BH18" s="902">
        <f>IF(ISNUMBER(((Datos!L18/Datos!K18)*11)/factor_trimestre),((Datos!L18/Datos!K18)*11)/factor_trimestre," - ")</f>
        <v>7.6486038153165614</v>
      </c>
      <c r="BI18" s="898">
        <f>SUBTOTAL(9,BI15:BI17)</f>
        <v>0.51501357787450286</v>
      </c>
      <c r="BJ18" s="898">
        <f>SUBTOTAL(9,BJ15:BJ17)</f>
        <v>0</v>
      </c>
      <c r="BK18" s="898">
        <f>SUBTOTAL(9,BK15:BK17)</f>
        <v>0</v>
      </c>
      <c r="BL18" s="898">
        <f>IF(ISNUMBER((I18-AB18+L18)/(F18)),(I18-AB18+L18)/(F18)," - ")</f>
        <v>-2.0463932107496463</v>
      </c>
      <c r="BM18" s="904">
        <f>IF(ISNUMBER((Datos!P18-Datos!Q18)/(Datos!R18-Datos!P18+Datos!Q18)),(Datos!P18-Datos!Q18)/(Datos!R18-Datos!P18+Datos!Q18)," - ")</f>
        <v>9.5465393794749401E-2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14</v>
      </c>
      <c r="F19" s="819">
        <f t="shared" si="6"/>
        <v>3635</v>
      </c>
      <c r="G19" s="819">
        <f t="shared" si="6"/>
        <v>3859</v>
      </c>
      <c r="H19" s="821">
        <f t="shared" si="6"/>
        <v>0</v>
      </c>
      <c r="I19" s="819">
        <f t="shared" si="6"/>
        <v>0</v>
      </c>
      <c r="J19" s="821">
        <f t="shared" si="6"/>
        <v>0</v>
      </c>
      <c r="K19" s="821">
        <f t="shared" si="6"/>
        <v>0</v>
      </c>
      <c r="L19" s="880">
        <f t="shared" si="6"/>
        <v>0</v>
      </c>
      <c r="M19" s="880">
        <f t="shared" si="6"/>
        <v>0</v>
      </c>
      <c r="N19" s="880">
        <f t="shared" si="6"/>
        <v>464</v>
      </c>
      <c r="O19" s="880">
        <f t="shared" si="6"/>
        <v>0</v>
      </c>
      <c r="P19" s="880">
        <f t="shared" si="6"/>
        <v>0</v>
      </c>
      <c r="Q19" s="821">
        <f t="shared" si="6"/>
        <v>1851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7269</v>
      </c>
      <c r="AC19" s="820">
        <f t="shared" si="7"/>
        <v>1876</v>
      </c>
      <c r="AD19" s="820">
        <f t="shared" si="7"/>
        <v>0</v>
      </c>
      <c r="AE19" s="820">
        <f t="shared" si="7"/>
        <v>0</v>
      </c>
      <c r="AF19" s="827">
        <f t="shared" si="7"/>
        <v>5150</v>
      </c>
      <c r="AG19" s="827">
        <f t="shared" si="7"/>
        <v>0</v>
      </c>
      <c r="AH19" s="827">
        <f t="shared" si="7"/>
        <v>216</v>
      </c>
      <c r="AI19" s="827">
        <f t="shared" si="7"/>
        <v>0</v>
      </c>
      <c r="AJ19" s="820">
        <f t="shared" si="7"/>
        <v>0</v>
      </c>
      <c r="AK19" s="827">
        <f t="shared" si="7"/>
        <v>0</v>
      </c>
      <c r="AL19" s="827">
        <f t="shared" si="7"/>
        <v>0</v>
      </c>
      <c r="AM19" s="827">
        <f t="shared" si="7"/>
        <v>7514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2158</v>
      </c>
      <c r="BD19" s="819">
        <f t="shared" si="7"/>
        <v>7173</v>
      </c>
      <c r="BE19" s="819">
        <f t="shared" si="7"/>
        <v>0</v>
      </c>
      <c r="BF19" s="829">
        <f t="shared" si="7"/>
        <v>0</v>
      </c>
      <c r="BG19" s="914">
        <f>IF(ISNUMBER(Datos!K19/Datos!J19),Datos!K19/Datos!J19," - ")</f>
        <v>0.89223542415031776</v>
      </c>
      <c r="BH19" s="914">
        <f>IF(ISNUMBER(((Datos!L19/Datos!K19)*11)/factor_trimestre),((Datos!L19/Datos!K19)*11)/factor_trimestre," - ")</f>
        <v>10.528182099721276</v>
      </c>
      <c r="BI19" s="812">
        <f>IF(ISNUMBER(Datos!J19/Datos!I19),Datos!J19/Datos!I19," - ")</f>
        <v>1.3299035369774919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-1.9997248968363137</v>
      </c>
      <c r="BM19" s="888">
        <f>IF(ISNUMBER((Datos!P19-Datos!Q19+R19)/(Datos!R19-Datos!P19+Datos!Q19-R19)),(Datos!P19-Datos!Q19+R19)/(Datos!R19-Datos!P19+Datos!Q19-R19)," - ")</f>
        <v>-3.3160896670645975E-3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1543.6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3.6893239368631092</v>
      </c>
      <c r="F21" s="550">
        <f>IF(ISNUMBER(STDEV(F8:F18)),STDEV(F8:F18),"-")</f>
        <v>1983.1981746663646</v>
      </c>
      <c r="G21" s="551">
        <f>IF(ISNUMBER(STDEV(G8:G18)),STDEV(G8:G18),"-")</f>
        <v>1948.9972550006323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3710.7174238952771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480.371800449055</v>
      </c>
      <c r="BD21" s="550"/>
      <c r="BE21" s="550">
        <f>IF(ISNUMBER(STDEV(BE8:BE18)),STDEV(BE8:BE18),"-")</f>
        <v>0</v>
      </c>
      <c r="BF21" s="555">
        <f>IF(ISNUMBER(STDEV(BF8:BF18)),STDEV(BF8:BF18),"-")</f>
        <v>0</v>
      </c>
      <c r="BG21" s="774">
        <f>IF(ISNUMBER(STDEV(BG8:BG18)),STDEV(BG8:BG18),"-")</f>
        <v>0.11735948378234265</v>
      </c>
      <c r="BH21" s="775">
        <f>IF(ISNUMBER(STDEV(BH8:BH18)),STDEV(BH8:BH18),"-")</f>
        <v>11.888068433530551</v>
      </c>
      <c r="BI21" s="248">
        <f>IF(ISNUMBER(STDEV(BI8:BI18)),STDEV(BI8:BI18),"-")</f>
        <v>0.18127517635447835</v>
      </c>
      <c r="BJ21" s="229" t="str">
        <f>IF(ISNUMBER(BL21/BM21),BL21/BM21," - ")</f>
        <v xml:space="preserve"> - </v>
      </c>
      <c r="BK21" s="574"/>
      <c r="BL21" s="558">
        <f>IF(ISNUMBER(STDEV(BL8:BL18)),STDEV(BL8:BL18),"-")</f>
        <v>1.1995311428798949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Hx18SnxkrJ+OOUpXM0HsFrz9L+p2wlXT4UPqO0etOvhxYQBnEaFkP+JMymQY+2XmNkdeK4AC541m+JmWWBpPVw==" saltValue="BiwMNesxlpswq0rZx0ss0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SAN JAVIER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100</v>
      </c>
      <c r="G10" s="224">
        <f>IF(ISNUMBER(Datos!I10),Datos!I10," - ")</f>
        <v>100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35</v>
      </c>
      <c r="Z10" s="618">
        <f>IF(ISNUMBER(Datos!Q10),Datos!Q10," - ")</f>
        <v>4</v>
      </c>
      <c r="AA10" s="331">
        <f>IF(ISNUMBER(Datos!L10),Datos!L10,"-")</f>
        <v>120</v>
      </c>
      <c r="AB10" s="333"/>
      <c r="AC10" s="333"/>
      <c r="AD10" s="483"/>
      <c r="AE10" s="483">
        <f>IF(ISNUMBER(Datos!R10),Datos!R10," - ")</f>
        <v>31</v>
      </c>
      <c r="AF10" s="228" t="str">
        <f>IF(ISNUMBER(Datos!BV10),Datos!BV10," - ")</f>
        <v xml:space="preserve"> - </v>
      </c>
      <c r="AG10" s="224" t="str">
        <f>IF(ISNUMBER(Datos!DV10),Datos!DV10," - ")</f>
        <v xml:space="preserve"> - </v>
      </c>
      <c r="AH10" s="297"/>
      <c r="AI10" s="226"/>
      <c r="AJ10" s="224">
        <f>IF(ISNUMBER(Datos!M10),Datos!M10," - ")</f>
        <v>20</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37.714285714285715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0.10714285714285714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1672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1740</v>
      </c>
      <c r="AA12" s="331" t="str">
        <f>IF(ISNUMBER(IF(J_V="SI",Datos!L12,Datos!L12+Datos!AB12)-IF(Monitorios="SI",Datos!CD12,0)),
                          IF(J_V="SI",Datos!L12,Datos!L12+Datos!AB12)-IF(Monitorios="SI",Datos!CD12,0),
                          " - ")</f>
        <v xml:space="preserve"> - </v>
      </c>
      <c r="AB12" s="333"/>
      <c r="AC12" s="333"/>
      <c r="AD12" s="483"/>
      <c r="AE12" s="483">
        <f>IF(ISNUMBER(Datos!R12),Datos!R12," - ")</f>
        <v>7024</v>
      </c>
      <c r="AF12" s="228" t="str">
        <f>IF(ISNUMBER(Datos!BV12),Datos!BV12," - ")</f>
        <v xml:space="preserve"> - </v>
      </c>
      <c r="AG12" s="224" t="str">
        <f>IF(ISNUMBER(Datos!DV12),Datos!DV12," - ")</f>
        <v xml:space="preserve"> - </v>
      </c>
      <c r="AH12" s="297"/>
      <c r="AI12" s="226"/>
      <c r="AJ12" s="224">
        <f>IF(ISNUMBER(Datos!M12),Datos!M12," - ")</f>
        <v>1085</v>
      </c>
      <c r="AK12" s="228">
        <f>IF(ISNUMBER(Datos!N12),Datos!N12," - ")</f>
        <v>2495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13.516625310173698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-9.5882684715172025E-3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7</v>
      </c>
      <c r="F13" s="897">
        <f>SUBTOTAL(9,F8:F12)</f>
        <v>100</v>
      </c>
      <c r="G13" s="897">
        <f>SUBTOTAL(9,G8:G12)</f>
        <v>100</v>
      </c>
      <c r="H13" s="907"/>
      <c r="I13" s="897">
        <f t="shared" ref="I13:N13" si="0">SUBTOTAL(9,I8:I12)</f>
        <v>0</v>
      </c>
      <c r="J13" s="866">
        <f t="shared" si="0"/>
        <v>0</v>
      </c>
      <c r="K13" s="907">
        <f t="shared" si="0"/>
        <v>0</v>
      </c>
      <c r="L13" s="907">
        <f t="shared" si="0"/>
        <v>0</v>
      </c>
      <c r="M13" s="907">
        <f t="shared" si="0"/>
        <v>0</v>
      </c>
      <c r="N13" s="907">
        <f t="shared" si="0"/>
        <v>1679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35</v>
      </c>
      <c r="Z13" s="906">
        <f t="shared" si="2"/>
        <v>1744</v>
      </c>
      <c r="AA13" s="899">
        <f t="shared" si="2"/>
        <v>120</v>
      </c>
      <c r="AB13" s="899">
        <f t="shared" si="2"/>
        <v>0</v>
      </c>
      <c r="AC13" s="899">
        <f t="shared" si="2"/>
        <v>0</v>
      </c>
      <c r="AD13" s="899">
        <f t="shared" si="2"/>
        <v>0</v>
      </c>
      <c r="AE13" s="899">
        <f t="shared" si="2"/>
        <v>7055</v>
      </c>
      <c r="AF13" s="907">
        <f t="shared" si="2"/>
        <v>0</v>
      </c>
      <c r="AG13" s="907">
        <f t="shared" si="2"/>
        <v>0</v>
      </c>
      <c r="AH13" s="907">
        <f t="shared" si="2"/>
        <v>0</v>
      </c>
      <c r="AI13" s="907">
        <f t="shared" si="2"/>
        <v>0</v>
      </c>
      <c r="AJ13" s="907">
        <f t="shared" si="2"/>
        <v>1105</v>
      </c>
      <c r="AK13" s="907">
        <f t="shared" si="2"/>
        <v>2499</v>
      </c>
      <c r="AL13" s="907">
        <f t="shared" si="2"/>
        <v>0</v>
      </c>
      <c r="AM13" s="907">
        <f t="shared" si="2"/>
        <v>0</v>
      </c>
      <c r="AN13" s="907">
        <f t="shared" si="2"/>
        <v>0</v>
      </c>
      <c r="AO13" s="903">
        <f>IF(ISNUMBER(((NºAsuntos!I13/NºAsuntos!G13)*11)/factor_trimestre),((NºAsuntos!I13/NºAsuntos!G13)*11)/factor_trimestre," - ")</f>
        <v>13.655921052631578</v>
      </c>
      <c r="AP13" s="909" t="str">
        <f>IF(ISNUMBER(Datos!CI13/Datos!CJ13),Datos!CI13/Datos!CJ13," - ")</f>
        <v xml:space="preserve"> - </v>
      </c>
      <c r="AQ13" s="927">
        <f t="shared" ref="AQ13:AV13" si="3">SUBTOTAL(9,AQ9:AQ12)</f>
        <v>0</v>
      </c>
      <c r="AR13" s="927">
        <f t="shared" si="3"/>
        <v>9.755458867133994E-2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3535</v>
      </c>
      <c r="G16" s="224">
        <f>IF(ISNUMBER(IF(D_I="SI",Datos!I16,Datos!I16+Datos!AC16)),IF(D_I="SI",Datos!I16,Datos!I16+Datos!AC16)," - ")</f>
        <v>3596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162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6687</v>
      </c>
      <c r="Z16" s="618">
        <f>IF(ISNUMBER(Datos!Q16),Datos!Q16," - ")</f>
        <v>122</v>
      </c>
      <c r="AA16" s="331">
        <f>IF(ISNUMBER(IF(D_I="SI",Datos!L16,Datos!L16+Datos!AF16)),IF(D_I="SI",Datos!L16,Datos!L16+Datos!AF16)," - ")</f>
        <v>4739</v>
      </c>
      <c r="AB16" s="333"/>
      <c r="AC16" s="333"/>
      <c r="AD16" s="483"/>
      <c r="AE16" s="483">
        <f>IF(ISNUMBER(Datos!R16),Datos!R16," - ")</f>
        <v>452</v>
      </c>
      <c r="AF16" s="228" t="str">
        <f>IF(ISNUMBER(Datos!BV16),Datos!BV16," - ")</f>
        <v xml:space="preserve"> - </v>
      </c>
      <c r="AG16" s="224"/>
      <c r="AH16" s="297"/>
      <c r="AI16" s="226"/>
      <c r="AJ16" s="224">
        <f>IF(ISNUMBER(Datos!M16),Datos!M16," - ")</f>
        <v>840</v>
      </c>
      <c r="AK16" s="228">
        <f>IF(ISNUMBER(Datos!N16),Datos!N16," - ")</f>
        <v>4409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7.7955735008224911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163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547</v>
      </c>
      <c r="Z17" s="618">
        <f>IF(ISNUMBER(Datos!Q17),Datos!Q17," - ")</f>
        <v>10</v>
      </c>
      <c r="AA17" s="331">
        <f>IF(ISNUMBER(Datos!L17),Datos!L17,"-")</f>
        <v>291</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213</v>
      </c>
      <c r="AK17" s="228">
        <f>IF(ISNUMBER(Datos!N17),Datos!N17," - ")</f>
        <v>265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5.8519195612431441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7</v>
      </c>
      <c r="F18" s="897">
        <f>SUBTOTAL(9,F15:F17)</f>
        <v>3535</v>
      </c>
      <c r="G18" s="897">
        <f>SUBTOTAL(9,G15:G17)</f>
        <v>3759</v>
      </c>
      <c r="H18" s="931">
        <f>SUBTOTAL(9,H15:H17)</f>
        <v>0</v>
      </c>
      <c r="I18" s="910">
        <f>SUBTOTAL(9,I15:I17)</f>
        <v>0</v>
      </c>
      <c r="J18" s="866">
        <f>SUBTOTAL(9,J14:J17)</f>
        <v>0</v>
      </c>
      <c r="K18" s="931">
        <f t="shared" ref="K18:S18" si="4">SUBTOTAL(9,K15:K17)</f>
        <v>0</v>
      </c>
      <c r="L18" s="931">
        <f t="shared" si="4"/>
        <v>0</v>
      </c>
      <c r="M18" s="931">
        <f t="shared" si="4"/>
        <v>0</v>
      </c>
      <c r="N18" s="931">
        <f t="shared" si="4"/>
        <v>172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7234</v>
      </c>
      <c r="Z18" s="931">
        <f t="shared" si="5"/>
        <v>132</v>
      </c>
      <c r="AA18" s="931">
        <f t="shared" si="5"/>
        <v>5030</v>
      </c>
      <c r="AB18" s="931">
        <f t="shared" si="5"/>
        <v>0</v>
      </c>
      <c r="AC18" s="931">
        <f t="shared" si="5"/>
        <v>0</v>
      </c>
      <c r="AD18" s="931">
        <f t="shared" si="5"/>
        <v>0</v>
      </c>
      <c r="AE18" s="931">
        <f t="shared" si="5"/>
        <v>459</v>
      </c>
      <c r="AF18" s="931">
        <f t="shared" si="5"/>
        <v>0</v>
      </c>
      <c r="AG18" s="931">
        <f t="shared" si="5"/>
        <v>0</v>
      </c>
      <c r="AH18" s="931">
        <f t="shared" si="5"/>
        <v>0</v>
      </c>
      <c r="AI18" s="931">
        <f t="shared" si="5"/>
        <v>0</v>
      </c>
      <c r="AJ18" s="931">
        <f t="shared" si="5"/>
        <v>1053</v>
      </c>
      <c r="AK18" s="931">
        <f t="shared" si="5"/>
        <v>4674</v>
      </c>
      <c r="AL18" s="931">
        <f t="shared" si="5"/>
        <v>0</v>
      </c>
      <c r="AM18" s="931">
        <f t="shared" si="5"/>
        <v>0</v>
      </c>
      <c r="AN18" s="931">
        <f t="shared" si="5"/>
        <v>0</v>
      </c>
      <c r="AO18" s="933">
        <f>IF(ISNUMBER(((NºAsuntos!I18/NºAsuntos!G18)*11)/factor_trimestre),((NºAsuntos!I18/NºAsuntos!G18)*11)/factor_trimestre," - ")</f>
        <v>7.6486038153165614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3635</v>
      </c>
      <c r="G19" s="819">
        <f t="shared" si="7"/>
        <v>3859</v>
      </c>
      <c r="H19" s="820">
        <f t="shared" si="7"/>
        <v>0</v>
      </c>
      <c r="I19" s="819">
        <f t="shared" si="7"/>
        <v>0</v>
      </c>
      <c r="J19" s="821">
        <f t="shared" si="7"/>
        <v>0</v>
      </c>
      <c r="K19" s="819">
        <f t="shared" si="7"/>
        <v>0</v>
      </c>
      <c r="L19" s="822">
        <f t="shared" si="7"/>
        <v>0</v>
      </c>
      <c r="M19" s="819">
        <f t="shared" si="7"/>
        <v>0</v>
      </c>
      <c r="N19" s="820">
        <f t="shared" si="7"/>
        <v>1851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7269</v>
      </c>
      <c r="Z19" s="826">
        <f t="shared" si="8"/>
        <v>1876</v>
      </c>
      <c r="AA19" s="827">
        <f t="shared" si="8"/>
        <v>5150</v>
      </c>
      <c r="AB19" s="827">
        <f t="shared" si="8"/>
        <v>0</v>
      </c>
      <c r="AC19" s="827">
        <f t="shared" si="8"/>
        <v>0</v>
      </c>
      <c r="AD19" s="828">
        <f t="shared" si="8"/>
        <v>0</v>
      </c>
      <c r="AE19" s="828">
        <f t="shared" si="8"/>
        <v>7514</v>
      </c>
      <c r="AF19" s="829">
        <f t="shared" si="8"/>
        <v>0</v>
      </c>
      <c r="AG19" s="830">
        <f t="shared" si="8"/>
        <v>0</v>
      </c>
      <c r="AH19" s="831">
        <f t="shared" si="8"/>
        <v>0</v>
      </c>
      <c r="AI19" s="829">
        <f t="shared" si="8"/>
        <v>0</v>
      </c>
      <c r="AJ19" s="819">
        <f t="shared" si="8"/>
        <v>2158</v>
      </c>
      <c r="AK19" s="819">
        <f t="shared" si="8"/>
        <v>7173</v>
      </c>
      <c r="AL19" s="819">
        <f t="shared" si="8"/>
        <v>0</v>
      </c>
      <c r="AM19" s="832">
        <f t="shared" si="8"/>
        <v>0</v>
      </c>
      <c r="AN19" s="822">
        <f>IF(ISNUMBER(Datos!K19/Datos!J19),Datos!K19/Datos!J19," - ")</f>
        <v>0.89223542415031776</v>
      </c>
      <c r="AO19" s="822">
        <f>IF(ISNUMBER(FIND("06",Criterios!A8,1)),(IF(ISNUMBER(((Datos!R19/Datos!Q19)*11)/factor_trimestre),((Datos!R19/Datos!Q19)*11)/factor_trimestre," - ")),(IF(ISNUMBER(((Datos!L19/Datos!K19)*11)/factor_trimestre),((Datos!L19/Datos!K19)*11)/factor_trimestre," - ")))</f>
        <v>10.528182099721276</v>
      </c>
      <c r="AP19" s="833" t="str">
        <f>IF(ISNUMBER(Datos!CI19/Datos!CJ19),Datos!CI19/Datos!CJ19," - ")</f>
        <v xml:space="preserve"> - </v>
      </c>
      <c r="AQ19" s="833">
        <f>IF(OR(ISNUMBER(FIND("01",Criterios!A8,1)),ISNUMBER(FIND("02",Criterios!A8,1)),ISNUMBER(FIND("03",Criterios!A8,1)),ISNUMBER(FIND("04",Criterios!A8,1))),(J19-Y19+K19)/(F19-K19),(I19-Y19+K19)/(F19-K19))</f>
        <v>-1.9997248968363137</v>
      </c>
      <c r="AR19" s="833">
        <f>IF(ISNUMBER((Datos!P19-Datos!Q19+O19)/(Datos!R19-Datos!P19+Datos!Q19-O19)),(Datos!P19-Datos!Q19+O19)/(Datos!R19-Datos!P19+Datos!Q19-O19)," - ")</f>
        <v>-3.3160896670645975E-3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1543.6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1983.1981746663646</v>
      </c>
      <c r="G21" s="551">
        <f>IF(ISNUMBER(STDEV(G8:G18)),STDEV(G8:G18),"-")</f>
        <v>1948.9972550006323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480.371800449055</v>
      </c>
      <c r="AK21" s="251"/>
      <c r="AL21" s="251">
        <f>IF(ISNUMBER(STDEV(AL8:AL18)),STDEV(AL8:AL18),"-")</f>
        <v>0</v>
      </c>
      <c r="AM21" s="253">
        <f>IF(ISNUMBER(STDEV(AM8:AM18)),STDEV(AM8:AM18),"-")</f>
        <v>0</v>
      </c>
      <c r="AN21" s="538">
        <f>IF(ISNUMBER(STDEV(AN8:AN18)),STDEV(AN8:AN18),"-")</f>
        <v>0</v>
      </c>
      <c r="AO21" s="539">
        <f>IF(ISNUMBER(STDEV(AO8:AO18)),STDEV(AO8:AO18),"-")</f>
        <v>11.89244758993266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K3wt3ecZEhNunG0KQSgf2NAw6XJl41xVCgKbEz8Nuu4dpce1JGjrLpPTlcXxyxz9zHVgWvn0+RvNFJX9ZOGC3Q==" saltValue="Ihka6nomohItynOol3t8p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Q1T2xkk9AXoevjMf1T6u03/f/U3hHEiDIptYzCRu5FoFXs16vCJyxl4GvYsevZN4k813Yo+y8uPSxYIIBLPsw==" saltValue="p+KwcqIjnJzvtgkbJdus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iZaI0EDHlozhUxxSr+f4RNo1dVmQLmK1dpjV9/ozyayhiYkes9cqf0FJCTvL7jakTBPqSTNqlwEXE+2M7+kAA==" saltValue="IQw/9JCcn+06oRHZgGt6D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SAN JAVIER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0.18174342105263158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0.12851200546235775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KcjYbU8Bzejpkpy+SNLp8AW8jFV+SMMBzpe4N3vbwOt4c8dj5tRR43h07IXr25zoEWUlFnJMmV+nNB3SuxwAxg==" saltValue="xxCdbz95ZdM84CwZ1Hd8x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iv8rAnKjXHLf7XOcQ+hQH74NRyYDYpW1D5CyOx8SgmZtE/QHoRGByPLyBNELKJVvwzVwisZHiVC1prq0zWk8pw==" saltValue="9A8XEfnb0d9gEs45NWS7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SAN JAVIER</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100</v>
      </c>
      <c r="D10" s="403">
        <f>IF(ISNUMBER(C10/Datos!BH10),C10/Datos!BH10," - ")</f>
        <v>100</v>
      </c>
      <c r="E10" s="402">
        <f>IF(ISNUMBER(Datos!J10),Datos!J10," - ")</f>
        <v>55</v>
      </c>
      <c r="F10" s="403">
        <f>IF(ISNUMBER(E10/B10),E10/B10," - ")</f>
        <v>55</v>
      </c>
      <c r="G10" s="402">
        <f>IF(ISNUMBER(Datos!K10),Datos!K10," - ")</f>
        <v>35</v>
      </c>
      <c r="H10" s="403">
        <f>IF(ISNUMBER(G10/B10),G10/B10," - ")</f>
        <v>35</v>
      </c>
      <c r="I10" s="402">
        <f>IF(ISNUMBER(Datos!L10),Datos!L10," - ")</f>
        <v>120</v>
      </c>
      <c r="J10" s="403">
        <f>IF(ISNUMBER(I10/B10),I10/B10," - ")</f>
        <v>120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7176</v>
      </c>
      <c r="D12" s="403">
        <f>IF(ISNUMBER(C12/Datos!BH12),C12/Datos!BH12," - ")</f>
        <v>1025.1428571428571</v>
      </c>
      <c r="E12" s="402">
        <f>IF(ISNUMBER(IF(J_V="SI",Datos!J12,Datos!J12+Datos!Z12)),IF(J_V="SI",Datos!J12,Datos!J12+Datos!Z12)," - ")</f>
        <v>6333</v>
      </c>
      <c r="F12" s="403">
        <f>IF(ISNUMBER(E12/B12),E12/B12," - ")</f>
        <v>904.71428571428567</v>
      </c>
      <c r="G12" s="402">
        <f>IF(ISNUMBER(IF(J_V="SI",Datos!K12,Datos!K12+Datos!AA12)),IF(J_V="SI",Datos!K12,Datos!K12+Datos!AA12)," - ")</f>
        <v>6045</v>
      </c>
      <c r="H12" s="403">
        <f>IF(ISNUMBER(G12/B12),G12/B12," - ")</f>
        <v>863.57142857142856</v>
      </c>
      <c r="I12" s="402">
        <f>IF(ISNUMBER(IF(J_V="SI",Datos!L12,Datos!L12+Datos!AB12)),IF(J_V="SI",Datos!L12,Datos!L12+Datos!AB12)," - ")</f>
        <v>7428</v>
      </c>
      <c r="J12" s="403">
        <f>IF(ISNUMBER(I12/B12),I12/B12," - ")</f>
        <v>1061.1428571428571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7276</v>
      </c>
      <c r="D13" s="849" t="str">
        <f>IF(ISNUMBER(C13/Datos!BI13),C13/Datos!BI13," - ")</f>
        <v xml:space="preserve"> - </v>
      </c>
      <c r="E13" s="848">
        <f>SUBTOTAL(9,E8:E12)</f>
        <v>6388</v>
      </c>
      <c r="F13" s="849">
        <f>IF(ISNUMBER(E13/B13),E13/B13," - ")</f>
        <v>912.57142857142856</v>
      </c>
      <c r="G13" s="848">
        <f>SUBTOTAL(9,G8:G12)</f>
        <v>6080</v>
      </c>
      <c r="H13" s="849">
        <f>IF(ISNUMBER(G13/B13),G13/B13," - ")</f>
        <v>868.57142857142856</v>
      </c>
      <c r="I13" s="848">
        <f>SUBTOTAL(9,I8:I12)</f>
        <v>7548</v>
      </c>
      <c r="J13" s="849">
        <f>IF(ISNUMBER(I13/B13),I13/B13," - ")</f>
        <v>1078.2857142857142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3596</v>
      </c>
      <c r="D16" s="403">
        <f>IF(ISNUMBER(C16/Datos!BH16),C16/Datos!BH16," - ")</f>
        <v>513.71428571428567</v>
      </c>
      <c r="E16" s="402">
        <f>IF(ISNUMBER(IF(D_I="SI",Datos!J16,Datos!J16+Datos!AD16)),IF(D_I="SI",Datos!J16,Datos!J16+Datos!AD16)," - ")</f>
        <v>7891</v>
      </c>
      <c r="F16" s="403">
        <f>IF(ISNUMBER(E16/B16),E16/B16," - ")</f>
        <v>1127.2857142857142</v>
      </c>
      <c r="G16" s="402">
        <f>IF(ISNUMBER(IF(D_I="SI",Datos!K16,Datos!K16+Datos!AE16)),IF(D_I="SI",Datos!K16,Datos!K16+Datos!AE16)," - ")</f>
        <v>6687</v>
      </c>
      <c r="H16" s="403">
        <f>IF(ISNUMBER(G16/B16),G16/B16," - ")</f>
        <v>955.28571428571433</v>
      </c>
      <c r="I16" s="402">
        <f>IF(ISNUMBER(IF(D_I="SI",Datos!L16,Datos!L16+Datos!AF16)),IF(D_I="SI",Datos!L16,Datos!L16+Datos!AF16)," - ")</f>
        <v>4739</v>
      </c>
      <c r="J16" s="403">
        <f>IF(ISNUMBER(I16/B16),I16/B16," - ")</f>
        <v>677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163</v>
      </c>
      <c r="D17" s="403">
        <f>IF(ISNUMBER(C17/Datos!BH17),C17/Datos!BH17," - ")</f>
        <v>163</v>
      </c>
      <c r="E17" s="402">
        <f>IF(ISNUMBER(IF(D_I="SI",Datos!J17,Datos!J17+Datos!AD17)),IF(D_I="SI",Datos!J17,Datos!J17+Datos!AD17)," - ")</f>
        <v>661</v>
      </c>
      <c r="F17" s="403">
        <f>IF(ISNUMBER(E17/B17),E17/B17," - ")</f>
        <v>661</v>
      </c>
      <c r="G17" s="402">
        <f>IF(ISNUMBER(IF(D_I="SI",Datos!K17,Datos!K17+Datos!AE17)),IF(D_I="SI",Datos!K17,Datos!K17+Datos!AE17)," - ")</f>
        <v>547</v>
      </c>
      <c r="H17" s="403">
        <f>IF(ISNUMBER(G17/B17),G17/B17," - ")</f>
        <v>547</v>
      </c>
      <c r="I17" s="402">
        <f>IF(ISNUMBER(IF(D_I="SI",Datos!L17,Datos!L17+Datos!AF17)),IF(D_I="SI",Datos!L17,Datos!L17+Datos!AF17)," - ")</f>
        <v>291</v>
      </c>
      <c r="J17" s="403">
        <f>IF(ISNUMBER(I17/B17),I17/B17," - ")</f>
        <v>291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3759</v>
      </c>
      <c r="D18" s="849" t="str">
        <f>IF(ISNUMBER(C18/Datos!BI18),C18/Datos!BI18," - ")</f>
        <v xml:space="preserve"> - </v>
      </c>
      <c r="E18" s="848">
        <f>SUBTOTAL(9,E14:E17)</f>
        <v>8552</v>
      </c>
      <c r="F18" s="849">
        <f>IF(ISNUMBER(E18/B18),E18/B18," - ")</f>
        <v>1221.7142857142858</v>
      </c>
      <c r="G18" s="848">
        <f>SUBTOTAL(9,G14:G17)</f>
        <v>7234</v>
      </c>
      <c r="H18" s="849">
        <f>IF(ISNUMBER(G18/B18),G18/B18," - ")</f>
        <v>1033.4285714285713</v>
      </c>
      <c r="I18" s="848">
        <f>SUBTOTAL(9,I14:I17)</f>
        <v>5030</v>
      </c>
      <c r="J18" s="849">
        <f>IF(ISNUMBER(I18/B18),I18/B18," - ")</f>
        <v>718.57142857142856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7</v>
      </c>
      <c r="C19" s="793">
        <f>SUBTOTAL(9,C9:C18)</f>
        <v>11035</v>
      </c>
      <c r="D19" s="794" t="str">
        <f>IF(ISNUMBER(C19/Datos!BI19),C19/Datos!BI19," - ")</f>
        <v xml:space="preserve"> - </v>
      </c>
      <c r="E19" s="793">
        <f>SUBTOTAL(9,E9:E18)</f>
        <v>14940</v>
      </c>
      <c r="F19" s="794">
        <f>IF(ISNUMBER(E19/B19),E19/B19," - ")</f>
        <v>2134.2857142857142</v>
      </c>
      <c r="G19" s="793">
        <f>SUBTOTAL(9,G9:G18)</f>
        <v>13314</v>
      </c>
      <c r="H19" s="794">
        <f>IF(ISNUMBER(G19/B19),G19/B19," - ")</f>
        <v>1902</v>
      </c>
      <c r="I19" s="793">
        <f>SUBTOTAL(9,I9:I18)</f>
        <v>12578</v>
      </c>
      <c r="J19" s="794">
        <f>IF(ISNUMBER(I19/B19),I19/B19," - ")</f>
        <v>1796.8571428571429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F9nfpy9CYZvu2XfvTKn/JzwRVYbvE6C0nxTIw5gsAnCo5a519YMxJ17+dxnS7RiMkGS4NRKsuHOxy25dNdDO7A==" saltValue="nN/Fb4DfWr1dsWnicx3yj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SAN JAVIER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100</v>
      </c>
      <c r="G10" s="683">
        <f>IF(ISNUMBER(Datos!I10),Datos!I10," - ")</f>
        <v>100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35</v>
      </c>
      <c r="AC10" s="682" t="str">
        <f>IF(ISNUMBER(IF(D_I="SI",DatosP!K17,DatosP!K17+DatosP!AE17)),IF(D_I="SI",DatosP!K17,DatosP!K17+DatosP!AE17)," - ")</f>
        <v xml:space="preserve"> - </v>
      </c>
      <c r="AD10" s="684"/>
      <c r="AE10" s="684"/>
      <c r="AF10" s="687">
        <f>IF(ISNUMBER(Datos!L10),Datos!L10,"-")</f>
        <v>120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20</v>
      </c>
      <c r="AM10" s="689">
        <f>IF(ISNUMBER(Datos!N10+DatosP!N17),Datos!N10+DatosP!N17," - ")</f>
        <v>4</v>
      </c>
      <c r="AN10" s="689">
        <f>IF(ISNUMBER(Datos!BW10+DatosP!BW17),Datos!BW10+DatosP!BW17," - ")</f>
        <v>0</v>
      </c>
      <c r="AO10" s="690">
        <f>IF(ISNUMBER(Datos!BX10+DatosP!BX17),Datos!BX10+DatosP!BX17," - ")</f>
        <v>0</v>
      </c>
      <c r="AP10" s="692">
        <f>IF(ISNUMBER(((Datos!L10/Datos!K10)*11)/factor_trimestre),((Datos!L10/Datos!K10)*11)/factor_trimestre," - ")</f>
        <v>37.714285714285715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1672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1740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7024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1085</v>
      </c>
      <c r="AM12" s="689">
        <f>IF(ISNUMBER(Datos!N12+DatosP!N16),Datos!N12+DatosP!N16," - ")</f>
        <v>2495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13.516625310173698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-9.5882684715172025E-3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100</v>
      </c>
      <c r="G13" s="937">
        <f t="shared" si="0"/>
        <v>100</v>
      </c>
      <c r="H13" s="937">
        <f t="shared" si="0"/>
        <v>0</v>
      </c>
      <c r="I13" s="939">
        <f t="shared" si="0"/>
        <v>0</v>
      </c>
      <c r="J13" s="938">
        <f t="shared" si="0"/>
        <v>0</v>
      </c>
      <c r="K13" s="938">
        <f t="shared" si="0"/>
        <v>0</v>
      </c>
      <c r="L13" s="940">
        <f t="shared" si="0"/>
        <v>0</v>
      </c>
      <c r="M13" s="940">
        <f t="shared" si="0"/>
        <v>0</v>
      </c>
      <c r="N13" s="938">
        <f t="shared" si="0"/>
        <v>1679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35</v>
      </c>
      <c r="AC13" s="938">
        <f t="shared" si="1"/>
        <v>0</v>
      </c>
      <c r="AD13" s="938">
        <f t="shared" si="1"/>
        <v>1740</v>
      </c>
      <c r="AE13" s="938">
        <f t="shared" si="1"/>
        <v>0</v>
      </c>
      <c r="AF13" s="938">
        <f t="shared" si="1"/>
        <v>120</v>
      </c>
      <c r="AG13" s="938">
        <f t="shared" si="1"/>
        <v>0</v>
      </c>
      <c r="AH13" s="938">
        <f t="shared" si="1"/>
        <v>7024</v>
      </c>
      <c r="AI13" s="938">
        <f t="shared" si="1"/>
        <v>0</v>
      </c>
      <c r="AJ13" s="938">
        <f t="shared" si="1"/>
        <v>0</v>
      </c>
      <c r="AK13" s="938">
        <f t="shared" si="1"/>
        <v>0</v>
      </c>
      <c r="AL13" s="938">
        <f t="shared" si="1"/>
        <v>1105</v>
      </c>
      <c r="AM13" s="938">
        <f t="shared" si="1"/>
        <v>2499</v>
      </c>
      <c r="AN13" s="938">
        <f t="shared" si="1"/>
        <v>0</v>
      </c>
      <c r="AO13" s="938">
        <f t="shared" si="1"/>
        <v>0</v>
      </c>
      <c r="AP13" s="943">
        <f>IF(ISNUMBER(((Datos!L13/Datos!K13)*11)/factor_trimestre),((Datos!L13/Datos!K13)*11)/factor_trimestre," - ")</f>
        <v>14.194297782470962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-0.35</v>
      </c>
      <c r="AU13" s="938" t="str">
        <f>IF(ISNUMBER((DatosP!#REF!-DatosP!#REF!+DatosP!#REF!)/(DatosP!#REF!+DatosP!#REF!-DatosP!#REF!-DatosP!#REF!)),(DatosP!#REF!-DatosP!#REF!+DatosP!#REF!)/(DatosP!#REF!+DatosP!#REF!-DatosP!#REF!-DatosP!#REF!)," - ")</f>
        <v xml:space="preserve"> - </v>
      </c>
      <c r="AV13" s="944">
        <f>SUBTOTAL(9,AV9:AV12)</f>
        <v>-9.5882684715172025E-3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7.6486038153165614</v>
      </c>
      <c r="AQ18" s="943">
        <f>IF(ISNUMBER(((Datos!M18/Datos!L18)*11)/factor_trimestre),((Datos!M18/Datos!L18)*11)/factor_trimestre," - ")</f>
        <v>2.3027833001988074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9.5465393794749401E-2</v>
      </c>
      <c r="AW18" s="945">
        <f>IF(ISNUMBER((Datos!Q18-Datos!R18)/(Datos!S18-Datos!Q18+Datos!R18)),(Datos!Q18-Datos!R18)/(Datos!S18-Datos!Q18+Datos!R18)," - ")</f>
        <v>-8.9859851607584501E-2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100</v>
      </c>
      <c r="G19" s="950">
        <f t="shared" si="4"/>
        <v>100</v>
      </c>
      <c r="H19" s="950">
        <f t="shared" si="4"/>
        <v>0</v>
      </c>
      <c r="I19" s="951">
        <f t="shared" si="4"/>
        <v>0</v>
      </c>
      <c r="J19" s="952">
        <f t="shared" si="4"/>
        <v>0</v>
      </c>
      <c r="K19" s="952">
        <f t="shared" si="4"/>
        <v>0</v>
      </c>
      <c r="L19" s="952">
        <f t="shared" si="4"/>
        <v>0</v>
      </c>
      <c r="M19" s="952">
        <f t="shared" si="4"/>
        <v>0</v>
      </c>
      <c r="N19" s="951">
        <f t="shared" si="4"/>
        <v>1679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35</v>
      </c>
      <c r="AC19" s="956">
        <f t="shared" si="5"/>
        <v>0</v>
      </c>
      <c r="AD19" s="956">
        <f t="shared" si="5"/>
        <v>1740</v>
      </c>
      <c r="AE19" s="956">
        <f t="shared" si="5"/>
        <v>0</v>
      </c>
      <c r="AF19" s="957">
        <f t="shared" si="5"/>
        <v>120</v>
      </c>
      <c r="AG19" s="957">
        <f t="shared" si="5"/>
        <v>0</v>
      </c>
      <c r="AH19" s="957">
        <f t="shared" si="5"/>
        <v>7024</v>
      </c>
      <c r="AI19" s="957">
        <f t="shared" si="5"/>
        <v>0</v>
      </c>
      <c r="AJ19" s="958">
        <f t="shared" si="5"/>
        <v>0</v>
      </c>
      <c r="AK19" s="958">
        <f t="shared" si="5"/>
        <v>0</v>
      </c>
      <c r="AL19" s="950">
        <f t="shared" si="5"/>
        <v>1105</v>
      </c>
      <c r="AM19" s="950">
        <f t="shared" si="5"/>
        <v>2499</v>
      </c>
      <c r="AN19" s="950">
        <f t="shared" si="5"/>
        <v>0</v>
      </c>
      <c r="AO19" s="950">
        <f t="shared" si="5"/>
        <v>0</v>
      </c>
      <c r="AP19" s="950">
        <f>IF(ISNUMBER(((Datos!L19/Datos!K19)*11)/factor_trimestre),((Datos!L19/Datos!K19)*11)/factor_trimestre," - ")</f>
        <v>10.528182099721276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-3.3160896670645975E-3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66.666666666666671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3.614784456460256</v>
      </c>
      <c r="F21" s="735">
        <f>IF(ISNUMBER(STDEV(F8:F18)),STDEV(F8:F18),"-")</f>
        <v>57.735026918962575</v>
      </c>
      <c r="G21" s="736">
        <f>IF(ISNUMBER(STDEV(G8:G18)),STDEV(G8:G18),"-")</f>
        <v>57.735026918962575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20.207259421636902</v>
      </c>
      <c r="AC21" s="737">
        <f>IF(ISNUMBER(STDEV(AC8:AC18)),STDEV(AC8:AC18),"-")</f>
        <v>0</v>
      </c>
      <c r="AD21" s="740"/>
      <c r="AE21" s="740"/>
      <c r="AF21" s="740"/>
      <c r="AG21" s="740"/>
      <c r="AH21" s="740"/>
      <c r="AI21" s="740"/>
      <c r="AJ21" s="741">
        <f>IF(ISNUMBER(STDEV(AJ8:AJ18)),STDEV(AJ8:AJ18),"-")</f>
        <v>0</v>
      </c>
      <c r="AK21" s="743"/>
      <c r="AL21" s="735">
        <f>IF(ISNUMBER(STDEV(AL8:AL18)),STDEV(AL8:AL18),"-")</f>
        <v>626.53145704478936</v>
      </c>
      <c r="AM21" s="735"/>
      <c r="AN21" s="735">
        <f>IF(ISNUMBER(STDEV(AN8:AN18)),STDEV(AN8:AN18),"-")</f>
        <v>0</v>
      </c>
      <c r="AO21" s="741">
        <f>IF(ISNUMBER(STDEV(AO8:AO18)),STDEV(AO8:AO18),"-")</f>
        <v>0</v>
      </c>
      <c r="AP21" s="778">
        <f>IF(ISNUMBER(STDEV(AP8:AP18)),STDEV(AP8:AP18),"-")</f>
        <v>13.292857904249743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7WyBTjj/nshXLe98mTLJq7r7/ba4EcOr2kU++bHrPachhDd2A2SwTZKwqm3Ma+Hz/PUdgAG42KecB+ShyfOOoQ==" saltValue="7FDe1auDusWY/QeZou5F3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REGION DE MURCIA</v>
      </c>
      <c r="C2" s="374"/>
      <c r="E2" s="374"/>
      <c r="F2" s="374"/>
      <c r="G2" s="374"/>
      <c r="H2" s="374"/>
    </row>
    <row r="3" spans="1:15" ht="39">
      <c r="A3" s="414" t="s">
        <v>218</v>
      </c>
      <c r="B3" s="390" t="str">
        <f>Criterios!A10 &amp;"  "&amp;Criterios!B10</f>
        <v>Provincias  MURCIA</v>
      </c>
      <c r="C3" s="414"/>
      <c r="F3" s="374"/>
      <c r="G3" s="374"/>
      <c r="H3" s="374"/>
    </row>
    <row r="4" spans="1:15" ht="13.5" thickBot="1">
      <c r="A4" s="374"/>
      <c r="B4" s="390" t="str">
        <f>Criterios!A11 &amp;"  "&amp;Criterios!B11</f>
        <v>Resumenes por Partidos Judiciales  SAN JAVIER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c1/mqjwkhRkupW1YpX/c8deCpmOn4ZGakkWnHSNhHTimxKJxRtWiASA7dOec/YnKFQU13nuaieSqE7wWtV0xzA==" saltValue="EReVGQbiaJ1wLGe2T59uP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SAN JAVIER</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20</v>
      </c>
      <c r="E10" s="403">
        <f>IF(ISNUMBER(D10/B10),D10/B10," - ")</f>
        <v>20</v>
      </c>
      <c r="F10" s="402">
        <f>IF(ISNUMBER(Datos!N10),Datos!N10," - ")</f>
        <v>4</v>
      </c>
      <c r="G10" s="403">
        <f>IF(ISNUMBER(F10/B10),F10/B10," - ")</f>
        <v>4</v>
      </c>
      <c r="H10" s="402">
        <f>IF(ISNUMBER(Datos!O10),Datos!O10," - ")</f>
        <v>4</v>
      </c>
      <c r="I10" s="403">
        <f t="shared" ref="I10:I12" si="2">IF(ISNUMBER(H10/B10),H10/B10," - ")</f>
        <v>4</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1085</v>
      </c>
      <c r="E12" s="403">
        <f t="shared" si="0"/>
        <v>155</v>
      </c>
      <c r="F12" s="402">
        <f>IF(ISNUMBER(Datos!N12),Datos!N12," - ")</f>
        <v>2495</v>
      </c>
      <c r="G12" s="403">
        <f t="shared" si="1"/>
        <v>356.42857142857144</v>
      </c>
      <c r="H12" s="402">
        <f>IF(ISNUMBER(Datos!O12),Datos!O12," - ")</f>
        <v>2461</v>
      </c>
      <c r="I12" s="403">
        <f t="shared" si="2"/>
        <v>351.57142857142856</v>
      </c>
      <c r="BZ12" s="1185">
        <f>Datos!EZ12</f>
        <v>0</v>
      </c>
    </row>
    <row r="13" spans="1:78" ht="14.25" thickTop="1" thickBot="1">
      <c r="A13" s="847" t="str">
        <f>Datos!A13</f>
        <v>TOTAL</v>
      </c>
      <c r="B13" s="848">
        <f>Datos!AP13</f>
        <v>7</v>
      </c>
      <c r="C13" s="850">
        <f>Datos!AR13</f>
        <v>7</v>
      </c>
      <c r="D13" s="848">
        <f>SUBTOTAL(9,D9:D12)</f>
        <v>1105</v>
      </c>
      <c r="E13" s="849">
        <f t="shared" si="0"/>
        <v>157.85714285714286</v>
      </c>
      <c r="F13" s="848">
        <f>SUBTOTAL(9,F9:F12)</f>
        <v>2499</v>
      </c>
      <c r="G13" s="849">
        <f t="shared" si="1"/>
        <v>357</v>
      </c>
      <c r="H13" s="848">
        <f>SUBTOTAL(9,H9:H12)</f>
        <v>2465</v>
      </c>
      <c r="I13" s="849">
        <f>IF(ISNUMBER(H13/B13),H13/B13," - ")</f>
        <v>352.14285714285717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840</v>
      </c>
      <c r="E16" s="403">
        <f t="shared" si="3"/>
        <v>120</v>
      </c>
      <c r="F16" s="402">
        <f>IF(ISNUMBER(Datos!N16),Datos!N16," - ")</f>
        <v>4409</v>
      </c>
      <c r="G16" s="403">
        <f t="shared" si="4"/>
        <v>629.85714285714289</v>
      </c>
      <c r="H16" s="402">
        <f>IF(ISNUMBER(Datos!O16),Datos!O16," - ")</f>
        <v>37</v>
      </c>
      <c r="I16" s="403">
        <f t="shared" si="5"/>
        <v>5.2857142857142856</v>
      </c>
      <c r="BZ16" s="1185">
        <f>Datos!EZ16</f>
        <v>0</v>
      </c>
    </row>
    <row r="17" spans="1:78" ht="13.5" thickBot="1">
      <c r="A17" s="401" t="str">
        <f>Datos!A17</f>
        <v>Jdos. Violencia contra la mujer/Secc Viol. TI.</v>
      </c>
      <c r="B17" s="426">
        <f>Datos!AO17</f>
        <v>1</v>
      </c>
      <c r="C17" s="427">
        <f>Datos!AQ17</f>
        <v>0</v>
      </c>
      <c r="D17" s="402">
        <f>IF(ISNUMBER(Datos!M17),Datos!M17," - ")</f>
        <v>213</v>
      </c>
      <c r="E17" s="403">
        <f>IF(ISNUMBER(D17/B17),D17/B17," - ")</f>
        <v>213</v>
      </c>
      <c r="F17" s="402">
        <f>IF(ISNUMBER(Datos!N17),Datos!N17," - ")</f>
        <v>265</v>
      </c>
      <c r="G17" s="403">
        <f>IF(ISNUMBER(F17/B17),F17/B17," - ")</f>
        <v>265</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1053</v>
      </c>
      <c r="E18" s="849">
        <f t="shared" si="3"/>
        <v>150.42857142857142</v>
      </c>
      <c r="F18" s="848">
        <f>SUBTOTAL(9,F15:F17)</f>
        <v>4674</v>
      </c>
      <c r="G18" s="849">
        <f t="shared" si="4"/>
        <v>667.71428571428567</v>
      </c>
      <c r="H18" s="848">
        <f>SUBTOTAL(9,H15:H17)</f>
        <v>37</v>
      </c>
      <c r="I18" s="849">
        <f>IF(ISNUMBER(H18/B18),H18/B18," - ")</f>
        <v>5.2857142857142856</v>
      </c>
      <c r="BZ18" s="1185"/>
    </row>
    <row r="19" spans="1:78" ht="14.25" thickTop="1" thickBot="1">
      <c r="A19" s="792" t="str">
        <f>Datos!A19</f>
        <v>TOTAL JURISDICCIONES</v>
      </c>
      <c r="B19" s="793">
        <f>Datos!AP19</f>
        <v>7</v>
      </c>
      <c r="C19" s="793">
        <f>Datos!AR19</f>
        <v>7</v>
      </c>
      <c r="D19" s="793">
        <f>SUBTOTAL(9,D8:D18)</f>
        <v>2158</v>
      </c>
      <c r="E19" s="794">
        <f>IF(ISNUMBER(D19/B19),D19/B19," - ")</f>
        <v>308.28571428571428</v>
      </c>
      <c r="F19" s="793">
        <f>SUBTOTAL(9,F8:F18)</f>
        <v>7173</v>
      </c>
      <c r="G19" s="794">
        <f>IF(ISNUMBER(F19/B19),F19/B19," - ")</f>
        <v>1024.7142857142858</v>
      </c>
      <c r="H19" s="793">
        <f>SUBTOTAL(9,H8:H18)</f>
        <v>2502</v>
      </c>
      <c r="I19" s="794">
        <f>IF(ISNUMBER(H19/B19),H19/B19," - ")</f>
        <v>357.42857142857144</v>
      </c>
    </row>
    <row r="22" spans="1:78">
      <c r="A22" s="390" t="str">
        <f>Criterios!A4</f>
        <v>Fecha Informe: 18 mar. 2026</v>
      </c>
    </row>
    <row r="27" spans="1:78">
      <c r="A27" s="413"/>
    </row>
  </sheetData>
  <sheetProtection algorithmName="SHA-512" hashValue="HftarcMnMnBj5iVp18SQMiwQWeP4lqeAZxW8SDz/zlc4z8aOLZSm5lEWA3H1mhihTHA8vBSUtbN1ZGyzkfFi/Q==" saltValue="3bynVEeAj4XJn0N+iysN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SAN JAVIER</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7</v>
      </c>
      <c r="C10" s="433">
        <f>IF(ISNUMBER(Datos!Q10),Datos!Q10," - ")</f>
        <v>4</v>
      </c>
      <c r="D10" s="407">
        <f>IF(ISNUMBER(Datos!R10),Datos!R10," - ")</f>
        <v>31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1672</v>
      </c>
      <c r="C12" s="433">
        <f>IF(ISNUMBER(Datos!Q12),Datos!Q12," - ")</f>
        <v>1740</v>
      </c>
      <c r="D12" s="407">
        <f>IF(ISNUMBER(Datos!R12),Datos!R12," - ")</f>
        <v>7024</v>
      </c>
    </row>
    <row r="13" spans="1:4" ht="14.25" thickTop="1" thickBot="1">
      <c r="A13" s="847" t="str">
        <f>Datos!A13</f>
        <v>TOTAL</v>
      </c>
      <c r="B13" s="848">
        <f>SUBTOTAL(9,B9:B12)</f>
        <v>1679</v>
      </c>
      <c r="C13" s="852">
        <f>SUBTOTAL(9,C9:C12)</f>
        <v>1744</v>
      </c>
      <c r="D13" s="850">
        <f>SUBTOTAL(9,D9:D12)</f>
        <v>7055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162</v>
      </c>
      <c r="C16" s="433">
        <f>IF(ISNUMBER(Datos!Q16),Datos!Q16," - ")</f>
        <v>122</v>
      </c>
      <c r="D16" s="407">
        <f>IF(ISNUMBER(Datos!R16),Datos!R16," - ")</f>
        <v>452</v>
      </c>
    </row>
    <row r="17" spans="1:4" ht="13.5" thickBot="1">
      <c r="A17" s="401" t="str">
        <f>Datos!A17</f>
        <v>Jdos. Violencia contra la mujer/Secc Viol. TI.</v>
      </c>
      <c r="B17" s="432">
        <f>IF(ISNUMBER(Datos!P17),Datos!P17," - ")</f>
        <v>10</v>
      </c>
      <c r="C17" s="433">
        <f>IF(ISNUMBER(Datos!Q17),Datos!Q17," - ")</f>
        <v>10</v>
      </c>
      <c r="D17" s="407">
        <f>IF(ISNUMBER(Datos!R17),Datos!R17," - ")</f>
        <v>7</v>
      </c>
    </row>
    <row r="18" spans="1:4" ht="14.25" thickTop="1" thickBot="1">
      <c r="A18" s="847" t="str">
        <f>Datos!A18</f>
        <v>TOTAL</v>
      </c>
      <c r="B18" s="848">
        <f>SUBTOTAL(9,B15:B17)</f>
        <v>172</v>
      </c>
      <c r="C18" s="852">
        <f>SUBTOTAL(9,C15:C17)</f>
        <v>132</v>
      </c>
      <c r="D18" s="850">
        <f>SUBTOTAL(9,D15:D17)</f>
        <v>459</v>
      </c>
    </row>
    <row r="19" spans="1:4" ht="16.5" customHeight="1" thickTop="1" thickBot="1">
      <c r="A19" s="792" t="str">
        <f>Datos!A19</f>
        <v>TOTAL JURISDICCIONES</v>
      </c>
      <c r="B19" s="797">
        <f>SUBTOTAL(9,B8:B18)</f>
        <v>1851</v>
      </c>
      <c r="C19" s="798">
        <f>SUBTOTAL(9,C8:C18)</f>
        <v>1876</v>
      </c>
      <c r="D19" s="799">
        <f>SUBTOTAL(9,D8:D18)</f>
        <v>7514</v>
      </c>
    </row>
    <row r="20" spans="1:4" ht="7.5" customHeight="1"/>
    <row r="21" spans="1:4" ht="6" customHeight="1"/>
    <row r="22" spans="1:4">
      <c r="A22" s="390" t="str">
        <f>Criterios!A4</f>
        <v>Fecha Informe: 18 mar. 2026</v>
      </c>
    </row>
    <row r="27" spans="1:4">
      <c r="A27" s="413"/>
    </row>
  </sheetData>
  <sheetProtection algorithmName="SHA-512" hashValue="MNMzJAxXmPDuncoweQtFomeN/NPMTM/SIjgwKtjd0sLD0aEV/f2509LGmqZWW4kSAvEk6gLbswMJdq6NCputyg==" saltValue="VH8II0cBFYs1GX/F5uOE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SAN JAVIER</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-4.7619047619047616E-2</v>
      </c>
      <c r="C10" s="455">
        <f>IF(ISNUMBER((Datos!J10-Datos!T10)/Datos!T10),(Datos!J10-Datos!T10)/Datos!T10," - ")</f>
        <v>-0.41489361702127658</v>
      </c>
      <c r="D10" s="455">
        <f>IF(ISNUMBER((Datos!K10-Datos!U10)/Datos!U10),(Datos!K10-Datos!U10)/Datos!U10," - ")</f>
        <v>-0.64646464646464652</v>
      </c>
      <c r="E10" s="455">
        <f>IF(ISNUMBER((Datos!L10-Datos!V10)/Datos!V10),(Datos!L10-Datos!V10)/Datos!V10," - ")</f>
        <v>0.2</v>
      </c>
      <c r="F10" s="455">
        <f>IF(ISNUMBER((Datos!M10-Datos!W10)/Datos!W10),(Datos!M10-Datos!W10)/Datos!W10," - ")</f>
        <v>-0.61538461538461542</v>
      </c>
      <c r="G10" s="456">
        <f>IF(ISNUMBER((Datos!N10-Datos!X10)/Datos!X10),(Datos!N10-Datos!X10)/Datos!X10," - ")</f>
        <v>-0.55555555555555558</v>
      </c>
      <c r="H10" s="454">
        <f>IF(ISNUMBER(((NºAsuntos!G10/NºAsuntos!E10)-Datos!BD10)/Datos!BD10),((NºAsuntos!G10/NºAsuntos!E10)-Datos!BD10)/Datos!BD10," - ")</f>
        <v>-0.39577594123048665</v>
      </c>
      <c r="I10" s="455">
        <f>IF(ISNUMBER(((NºAsuntos!I10/NºAsuntos!G10)-Datos!BE10)/Datos!BE10),((NºAsuntos!I10/NºAsuntos!G10)-Datos!BE10)/Datos!BE10," - ")</f>
        <v>2.3942857142857141</v>
      </c>
      <c r="J10" s="460">
        <f>IF(ISNUMBER((('Resol  Asuntos'!D10/NºAsuntos!G10)-Datos!BF10)/Datos!BF10),(('Resol  Asuntos'!D10/NºAsuntos!G10)-Datos!BF10)/Datos!BF10," - ")</f>
        <v>8.7912087912087739E-2</v>
      </c>
      <c r="K10" s="461">
        <f>IF(ISNUMBER((((NºAsuntos!C10+NºAsuntos!E10)/NºAsuntos!G10)-Datos!BG10)/Datos!BG10),(((NºAsuntos!C10+NºAsuntos!E10)/NºAsuntos!G10)-Datos!BG10)/Datos!BG10," - ")</f>
        <v>1.2031586503948315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9.140684410646388E-2</v>
      </c>
      <c r="C12" s="455">
        <f>IF(ISNUMBER(
   IF(J_V="SI",(Datos!J12-Datos!T12)/Datos!T12,(Datos!J12+Datos!Z12-(Datos!T12+Datos!AH12))/(Datos!T12+Datos!AH12))
     ),IF(J_V="SI",(Datos!J12-Datos!T12)/Datos!T12,(Datos!J12+Datos!Z12-(Datos!T12+Datos!AH12))/(Datos!T12+Datos!AH12))," - ")</f>
        <v>-8.6542622241453912E-2</v>
      </c>
      <c r="D12" s="455">
        <f>IF(ISNUMBER(
   IF(J_V="SI",(Datos!K12-Datos!U12)/Datos!U12,(Datos!K12+Datos!AA12-(Datos!U12+Datos!AI12))/(Datos!U12+Datos!AI12))
     ),IF(J_V="SI",(Datos!K12-Datos!U12)/Datos!U12,(Datos!K12+Datos!AA12-(Datos!U12+Datos!AI12))/(Datos!U12+Datos!AI12))," - ")</f>
        <v>-3.2800000000000003E-2</v>
      </c>
      <c r="E12" s="455">
        <f>IF(ISNUMBER(
   IF(J_V="SI",(Datos!L12-Datos!V12)/Datos!V12,(Datos!L12+Datos!AB12-(Datos!V12+Datos!AJ12))/(Datos!V12+Datos!AJ12))
     ),IF(J_V="SI",(Datos!L12-Datos!V12)/Datos!V12,(Datos!L12+Datos!AB12-(Datos!V12+Datos!AJ12))/(Datos!V12+Datos!AJ12))," - ")</f>
        <v>3.5117056856187288E-2</v>
      </c>
      <c r="F12" s="455">
        <f>IF(ISNUMBER((Datos!M12-Datos!W12)/Datos!W12),(Datos!M12-Datos!W12)/Datos!W12," - ")</f>
        <v>-0.1717557251908397</v>
      </c>
      <c r="G12" s="456">
        <f>IF(ISNUMBER((Datos!N12-Datos!X12)/Datos!X12),(Datos!N12-Datos!X12)/Datos!X12," - ")</f>
        <v>2.2960229602296024E-2</v>
      </c>
      <c r="H12" s="454">
        <f>IF(ISNUMBER(((NºAsuntos!G12/NºAsuntos!E12)-Datos!BD12)/Datos!BD12),((NºAsuntos!G12/NºAsuntos!E12)-Datos!BD12)/Datos!BD12," - ")</f>
        <v>5.8834296541923174E-2</v>
      </c>
      <c r="I12" s="455">
        <f>IF(ISNUMBER(((NºAsuntos!I12/NºAsuntos!G12)-Datos!BE12)/Datos!BE12),((NºAsuntos!I12/NºAsuntos!G12)-Datos!BE12)/Datos!BE12," - ")</f>
        <v>7.0220282109374685E-2</v>
      </c>
      <c r="J12" s="460">
        <f>IF(ISNUMBER((('Resol  Asuntos'!D12/NºAsuntos!G12)-Datos!BF12)/Datos!BF12),(('Resol  Asuntos'!D12/NºAsuntos!G12)-Datos!BF12)/Datos!BF12," - ")</f>
        <v>-0.54005950315913409</v>
      </c>
      <c r="K12" s="461">
        <f>IF(ISNUMBER((((NºAsuntos!C12+NºAsuntos!E12)/NºAsuntos!G12)-Datos!BG12)/Datos!BG12),(((NºAsuntos!C12+NºAsuntos!E12)/NºAsuntos!G12)-Datos!BG12)/Datos!BG12," - ")</f>
        <v>3.3988864975520318E-2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8.9221556886227543E-2</v>
      </c>
      <c r="C13" s="854">
        <f>IF(ISNUMBER(
   IF(J_V="SI",(Datos!J13-Datos!T13)/Datos!T13,(Datos!J13+Datos!Z13-(Datos!T13+Datos!AH13))/(Datos!T13+Datos!AH13))
     ),IF(J_V="SI",(Datos!J13-Datos!T13)/Datos!T13,(Datos!J13+Datos!Z13-(Datos!T13+Datos!AH13))/(Datos!T13+Datos!AH13))," - ")</f>
        <v>-9.093496513448128E-2</v>
      </c>
      <c r="D13" s="854">
        <f>IF(ISNUMBER(
   IF(J_V="SI",(Datos!K13-Datos!U13)/Datos!U13,(Datos!K13+Datos!AA13-(Datos!U13+Datos!AI13))/(Datos!U13+Datos!AI13))
     ),IF(J_V="SI",(Datos!K13-Datos!U13)/Datos!U13,(Datos!K13+Datos!AA13-(Datos!U13+Datos!AI13))/(Datos!U13+Datos!AI13))," - ")</f>
        <v>-4.2368876988502127E-2</v>
      </c>
      <c r="E13" s="854">
        <f>IF(ISNUMBER(
   IF(J_V="SI",(Datos!L13-Datos!V13)/Datos!V13,(Datos!L13+Datos!AB13-(Datos!V13+Datos!AJ13))/(Datos!V13+Datos!AJ13))
     ),IF(J_V="SI",(Datos!L13-Datos!V13)/Datos!V13,(Datos!L13+Datos!AB13-(Datos!V13+Datos!AJ13))/(Datos!V13+Datos!AJ13))," - ")</f>
        <v>3.7383177570093455E-2</v>
      </c>
      <c r="F13" s="855">
        <f>IF(ISNUMBER((Datos!M13-Datos!W13)/Datos!W13),(Datos!M13-Datos!W13)/Datos!W13," - ")</f>
        <v>-0.18869309838472834</v>
      </c>
      <c r="G13" s="856">
        <f>IF(ISNUMBER((Datos!N13-Datos!X13)/Datos!X13),(Datos!N13-Datos!X13)/Datos!X13," - ")</f>
        <v>2.0833333333333332E-2</v>
      </c>
      <c r="H13" s="856">
        <f>IF(ISNUMBER(((NºAsuntos!G13/NºAsuntos!E13)-Datos!BD13)/Datos!BD13),((NºAsuntos!G13/NºAsuntos!E13)-Datos!BD13)/Datos!BD13," - ")</f>
        <v>5.3424217501846498E-2</v>
      </c>
      <c r="I13" s="856">
        <f>IF(ISNUMBER(((NºAsuntos!I13/NºAsuntos!G13)-Datos!BE13)/Datos!BE13),((NºAsuntos!I13/NºAsuntos!G13)-Datos!BE13)/Datos!BE13," - ")</f>
        <v>8.3280558288243878E-2</v>
      </c>
      <c r="J13" s="856">
        <f>IF(ISNUMBER((('Resol  Asuntos'!D13/NºAsuntos!G13)-Datos!BF13)/Datos!BF13),(('Resol  Asuntos'!D13/NºAsuntos!G13)-Datos!BF13)/Datos!BF13," - ")</f>
        <v>-0.53677680439054276</v>
      </c>
      <c r="K13" s="856">
        <f>IF(ISNUMBER((((NºAsuntos!C13+NºAsuntos!E13)/NºAsuntos!G13)-Datos!BG13)/Datos!BG13),(((NºAsuntos!C13+NºAsuntos!E13)/NºAsuntos!G13)-Datos!BG13)/Datos!BG13," - ")</f>
        <v>4.0967542515733486E-2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0.13474282107920479</v>
      </c>
      <c r="C16" s="455">
        <f>IF(ISNUMBER(
   IF(D_I="SI",(Datos!J16-Datos!T16)/Datos!T16,(Datos!J16+Datos!AD16-(Datos!T16+Datos!AL16))/(Datos!T16+Datos!AL16))
     ),IF(D_I="SI",(Datos!J16-Datos!T16)/Datos!T16,(Datos!J16+Datos!AD16-(Datos!T16+Datos!AL16))/(Datos!T16+Datos!AL16))," - ")</f>
        <v>0.12056234024424879</v>
      </c>
      <c r="D16" s="455">
        <f>IF(ISNUMBER(
   IF(D_I="SI",(Datos!K16-Datos!U16)/Datos!U16,(Datos!K16+Datos!AE16-(Datos!U16+Datos!AM16))/(Datos!U16+Datos!AM16))
     ),IF(D_I="SI",(Datos!K16-Datos!U16)/Datos!U16,(Datos!K16+Datos!AE16-(Datos!U16+Datos!AM16))/(Datos!U16+Datos!AM16))," - ")</f>
        <v>-1.0213143872113677E-2</v>
      </c>
      <c r="E16" s="455">
        <f>IF(ISNUMBER(
   IF(D_I="SI",(Datos!L16-Datos!V16)/Datos!V16,(Datos!L16+Datos!AF16-(Datos!V16+Datos!AN16))/(Datos!V16+Datos!AN16))
     ),IF(D_I="SI",(Datos!L16-Datos!V16)/Datos!V16,(Datos!L16+Datos!AF16-(Datos!V16+Datos!AN16))/(Datos!V16+Datos!AN16))," - ")</f>
        <v>0.31785317018909898</v>
      </c>
      <c r="F16" s="455">
        <f>IF(ISNUMBER((Datos!M16-Datos!W16)/Datos!W16),(Datos!M16-Datos!W16)/Datos!W16," - ")</f>
        <v>-9.5801937567276646E-2</v>
      </c>
      <c r="G16" s="456">
        <f>IF(ISNUMBER((Datos!N16-Datos!X16)/Datos!X16),(Datos!N16-Datos!X16)/Datos!X16," - ")</f>
        <v>0.21694728125862545</v>
      </c>
      <c r="H16" s="454">
        <f>IF(ISNUMBER(((NºAsuntos!G16/NºAsuntos!E16)-Datos!BD16)/Datos!BD16),((NºAsuntos!G16/NºAsuntos!E16)-Datos!BD16)/Datos!BD16," - ")</f>
        <v>-0.11670522863356032</v>
      </c>
      <c r="I16" s="455">
        <f>IF(ISNUMBER(((NºAsuntos!I16/NºAsuntos!G16)-Datos!BE16)/Datos!BE16),((NºAsuntos!I16/NºAsuntos!G16)-Datos!BE16)/Datos!BE16," - ")</f>
        <v>0.33145147566884303</v>
      </c>
      <c r="J16" s="460">
        <f>IF(ISNUMBER((('Resol  Asuntos'!D16/NºAsuntos!G16)-Datos!BF16)/Datos!BF16),(('Resol  Asuntos'!D16/NºAsuntos!G16)-Datos!BF16)/Datos!BF16," - ")</f>
        <v>-8.6471944101169665E-2</v>
      </c>
      <c r="K16" s="461">
        <f>IF(ISNUMBER((((NºAsuntos!C16+NºAsuntos!E16)/NºAsuntos!G16)-Datos!BG16)/Datos!BG16),(((NºAsuntos!C16+NºAsuntos!E16)/NºAsuntos!G16)-Datos!BG16)/Datos!BG16," - ")</f>
        <v>0.13657124049974873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0.13986013986013987</v>
      </c>
      <c r="C17" s="455">
        <f>IF(ISNUMBER(
   IF(D_I="SI",(Datos!J17-Datos!T17)/Datos!T17,(Datos!J17+Datos!AD17-(Datos!T17+Datos!AL17))/(Datos!T17+Datos!AL17))
     ),IF(D_I="SI",(Datos!J17-Datos!T17)/Datos!T17,(Datos!J17+Datos!AD17-(Datos!T17+Datos!AL17))/(Datos!T17+Datos!AL17))," - ")</f>
        <v>-3.7845705967976713E-2</v>
      </c>
      <c r="D17" s="455">
        <f>IF(ISNUMBER(
   IF(D_I="SI",(Datos!K17-Datos!U17)/Datos!U17,(Datos!K17+Datos!AE17-(Datos!U17+Datos!AM17))/(Datos!U17+Datos!AM17))
     ),IF(D_I="SI",(Datos!K17-Datos!U17)/Datos!U17,(Datos!K17+Datos!AE17-(Datos!U17+Datos!AM17))/(Datos!U17+Datos!AM17))," - ")</f>
        <v>-0.18479880774962743</v>
      </c>
      <c r="E17" s="455">
        <f>IF(ISNUMBER(
   IF(D_I="SI",(Datos!L17-Datos!V17)/Datos!V17,(Datos!L17+Datos!AF17-(Datos!V17+Datos!AN17))/(Datos!V17+Datos!AN17))
     ),IF(D_I="SI",(Datos!L17-Datos!V17)/Datos!V17,(Datos!L17+Datos!AF17-(Datos!V17+Datos!AN17))/(Datos!V17+Datos!AN17))," - ")</f>
        <v>0.78527607361963192</v>
      </c>
      <c r="F17" s="455">
        <f>IF(ISNUMBER((Datos!M17-Datos!W17)/Datos!W17),(Datos!M17-Datos!W17)/Datos!W17," - ")</f>
        <v>0.51063829787234039</v>
      </c>
      <c r="G17" s="456">
        <f>IF(ISNUMBER((Datos!N17-Datos!X17)/Datos!X17),(Datos!N17-Datos!X17)/Datos!X17," - ")</f>
        <v>-0.18209876543209877</v>
      </c>
      <c r="H17" s="454">
        <f>IF(ISNUMBER(((NºAsuntos!G17/NºAsuntos!E17)-Datos!BD17)/Datos!BD17),((NºAsuntos!G17/NºAsuntos!E17)-Datos!BD17)/Datos!BD17," - ")</f>
        <v>-0.15273340533130719</v>
      </c>
      <c r="I17" s="455">
        <f>IF(ISNUMBER(((NºAsuntos!I17/NºAsuntos!G17)-Datos!BE17)/Datos!BE17),((NºAsuntos!I17/NºAsuntos!G17)-Datos!BE17)/Datos!BE17," - ")</f>
        <v>1.1899821670909925</v>
      </c>
      <c r="J17" s="460">
        <f>IF(ISNUMBER((('Resol  Asuntos'!D17/NºAsuntos!G17)-Datos!BF17)/Datos!BF17),(('Resol  Asuntos'!D17/NºAsuntos!G17)-Datos!BF17)/Datos!BF17," - ")</f>
        <v>0.85308646777393138</v>
      </c>
      <c r="K17" s="461">
        <f>IF(ISNUMBER((((NºAsuntos!C17+NºAsuntos!E17)/NºAsuntos!G17)-Datos!BG17)/Datos!BG17),(((NºAsuntos!C17+NºAsuntos!E17)/NºAsuntos!G17)-Datos!BG17)/Datos!BG17," - ")</f>
        <v>0.21782339596044137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0.13496376811594202</v>
      </c>
      <c r="C18" s="854">
        <f>IF(ISNUMBER(
   IF(Criterios!B14="SI",(Datos!J18-Datos!T18)/Datos!T18,(Datos!J18+Datos!AD18-(Datos!T18+Datos!AL18))/(Datos!T18+Datos!AL18))
     ),IF(Criterios!B14="SI",(Datos!J18-Datos!T18)/Datos!T18,(Datos!J18+Datos!AD18-(Datos!T18+Datos!AL18))/(Datos!T18+Datos!AL18))," - ")</f>
        <v>0.10648208047612887</v>
      </c>
      <c r="D18" s="854">
        <f>IF(ISNUMBER(
   IF(Criterios!B14="SI",(Datos!K18-Datos!U18)/Datos!U18,(Datos!K18+Datos!AE18-(Datos!U18+Datos!AM18))/(Datos!U18+Datos!AM18))
     ),IF(Criterios!B14="SI",(Datos!K18-Datos!U18)/Datos!U18,(Datos!K18+Datos!AE18-(Datos!U18+Datos!AM18))/(Datos!U18+Datos!AM18))," - ")</f>
        <v>-2.5986266325568871E-2</v>
      </c>
      <c r="E18" s="854">
        <f>IF(ISNUMBER(
   IF(Criterios!B14="SI",(Datos!L18-Datos!V18)/Datos!V18,(Datos!L18+Datos!AF18-(Datos!V18+Datos!AN18))/(Datos!V18+Datos!AN18))
     ),IF(Criterios!B14="SI",(Datos!L18-Datos!V18)/Datos!V18,(Datos!L18+Datos!AF18-(Datos!V18+Datos!AN18))/(Datos!V18+Datos!AN18))," - ")</f>
        <v>0.33812184091513703</v>
      </c>
      <c r="F18" s="855">
        <f>IF(ISNUMBER((Datos!M18-Datos!W18)/Datos!W18),(Datos!M18-Datos!W18)/Datos!W18," - ")</f>
        <v>-1.5887850467289719E-2</v>
      </c>
      <c r="G18" s="856">
        <f>IF(ISNUMBER((Datos!N18-Datos!X18)/Datos!X18),(Datos!N18-Datos!X18)/Datos!X18," - ")</f>
        <v>0.18419052444894857</v>
      </c>
      <c r="H18" s="856">
        <f>IF(ISNUMBER(((NºAsuntos!G18/NºAsuntos!E18)-Datos!BD18)/Datos!BD18),((NºAsuntos!G18/NºAsuntos!E18)-Datos!BD18)/Datos!BD18," - ")</f>
        <v>-0.11972028208960725</v>
      </c>
      <c r="I18" s="856">
        <f>IF(ISNUMBER(((NºAsuntos!I18/NºAsuntos!G18)-Datos!BE18)/Datos!BE18),((NºAsuntos!I18/NºAsuntos!G18)-Datos!BE18)/Datos!BE18," - ")</f>
        <v>0.37382235450327944</v>
      </c>
      <c r="J18" s="856">
        <f>IF(ISNUMBER((('Resol  Asuntos'!D18/NºAsuntos!G18)-Datos!BF18)/Datos!BF18),(('Resol  Asuntos'!D18/NºAsuntos!G18)-Datos!BF18)/Datos!BF18," - ")</f>
        <v>1.0367837237965045E-2</v>
      </c>
      <c r="K18" s="856">
        <f>IF(ISNUMBER((((NºAsuntos!C18+NºAsuntos!E18)/NºAsuntos!G18)-Datos!BG18)/Datos!BG18),(((NºAsuntos!C18+NºAsuntos!E18)/NºAsuntos!G18)-Datos!BG18)/Datos!BG18," - ")</f>
        <v>0.14477422065998413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0.10438350680544435</v>
      </c>
      <c r="C19" s="801">
        <f>IF(ISNUMBER(
   IF(J_V="SI",(Datos!J19-Datos!T19)/Datos!T19,(Datos!J19+Datos!Z19-(Datos!T19+Datos!AH19))/(Datos!T19+Datos!AH19))
     ),IF(J_V="SI",(Datos!J19-Datos!T19)/Datos!T19,(Datos!J19+Datos!Z19-(Datos!T19+Datos!AH19))/(Datos!T19+Datos!AH19))," - ")</f>
        <v>1.24695039306045E-2</v>
      </c>
      <c r="D19" s="801">
        <f>IF(ISNUMBER(
   IF(J_V="SI",(Datos!K19-Datos!U19)/Datos!U19,(Datos!K19+Datos!AA19-(Datos!U19+Datos!AI19))/(Datos!U19+Datos!AI19))
     ),IF(J_V="SI",(Datos!K19-Datos!U19)/Datos!U19,(Datos!K19+Datos!AA19-(Datos!U19+Datos!AI19))/(Datos!U19+Datos!AI19))," - ")</f>
        <v>-3.3536585365853661E-2</v>
      </c>
      <c r="E19" s="801">
        <f>IF(ISNUMBER(
   IF(J_V="SI",(Datos!L19-Datos!V19)/Datos!V19,(Datos!L19+Datos!AB19-(Datos!V19+Datos!AJ19))/(Datos!V19+Datos!AJ19))
     ),IF(J_V="SI",(Datos!L19-Datos!V19)/Datos!V19,(Datos!L19+Datos!AB19-(Datos!V19+Datos!AJ19))/(Datos!V19+Datos!AJ19))," - ")</f>
        <v>0.13982782057091073</v>
      </c>
      <c r="F19" s="802">
        <f>IF(ISNUMBER((Datos!M19-Datos!W19)/Datos!W19),(Datos!M19-Datos!W19)/Datos!W19," - ")</f>
        <v>-0.11266447368421052</v>
      </c>
      <c r="G19" s="803">
        <f>IF(ISNUMBER((Datos!N19-Datos!X19)/Datos!X19),(Datos!N19-Datos!X19)/Datos!X19," - ")</f>
        <v>0.12165754495699765</v>
      </c>
      <c r="H19" s="804">
        <f>IF(ISNUMBER((Tasas!B19-Datos!BD19)/Datos!BD19),(Tasas!B19-Datos!BD19)/Datos!BD19," - ")</f>
        <v>-4.5439481503248724E-2</v>
      </c>
      <c r="I19" s="805">
        <f>IF(ISNUMBER((Tasas!C19-Datos!BE19)/Datos!BE19),(Tasas!C19-Datos!BE19)/Datos!BE19," - ")</f>
        <v>0.17938020551185713</v>
      </c>
      <c r="J19" s="806">
        <f>IF(ISNUMBER((Tasas!D19-Datos!BF19)/Datos!BF19),(Tasas!D19-Datos!BF19)/Datos!BF19," - ")</f>
        <v>-0.37296172963855723</v>
      </c>
      <c r="K19" s="806">
        <f>IF(ISNUMBER((Tasas!E19-Datos!BG19)/Datos!BG19),(Tasas!E19-Datos!BG19)/Datos!BG19," - ")</f>
        <v>8.6000512930592715E-2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aqlFw6K8M9sbMh3LtwGDXRNlmPqIvWw6BPd1ZJKjGHNT4bsu5xmyyCdRc62NKaaRzI3jDtlDGBIXGViHvjQcCA==" saltValue="6wselO4gLxd8bFvGkMgF8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SAN JAVIER</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0.63636363636363635</v>
      </c>
      <c r="C10" s="442">
        <f>IF(ISNUMBER(NºAsuntos!I10/NºAsuntos!G10),NºAsuntos!I10/NºAsuntos!G10," - ")</f>
        <v>3.4285714285714284</v>
      </c>
      <c r="D10" s="443">
        <f>IF(ISNUMBER('Resol  Asuntos'!D10/NºAsuntos!G10),'Resol  Asuntos'!D10/NºAsuntos!G10," - ")</f>
        <v>0.5714285714285714</v>
      </c>
      <c r="E10" s="444">
        <f>IF(ISNUMBER((NºAsuntos!C10+NºAsuntos!E10)/NºAsuntos!G10),(NºAsuntos!C10+NºAsuntos!E10)/NºAsuntos!G10," - ")</f>
        <v>4.4285714285714288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0.95452392231170058</v>
      </c>
      <c r="C12" s="442">
        <f>IF(ISNUMBER(NºAsuntos!I12/NºAsuntos!G12),NºAsuntos!I12/NºAsuntos!G12," - ")</f>
        <v>1.2287841191066997</v>
      </c>
      <c r="D12" s="443">
        <f>IF(ISNUMBER('Resol  Asuntos'!D12/NºAsuntos!G12),'Resol  Asuntos'!D12/NºAsuntos!G12," - ")</f>
        <v>0.17948717948717949</v>
      </c>
      <c r="E12" s="444">
        <f>IF(ISNUMBER((NºAsuntos!C12+NºAsuntos!E12)/NºAsuntos!G12),(NºAsuntos!C12+NºAsuntos!E12)/NºAsuntos!G12," - ")</f>
        <v>2.2347394540942926</v>
      </c>
      <c r="G12" s="462"/>
    </row>
    <row r="13" spans="1:7" ht="14.25" thickTop="1" thickBot="1">
      <c r="A13" s="847" t="str">
        <f>Datos!A13</f>
        <v>TOTAL</v>
      </c>
      <c r="B13" s="857">
        <f>IF(ISNUMBER(NºAsuntos!G13/NºAsuntos!E13),NºAsuntos!G13/NºAsuntos!E13," - ")</f>
        <v>0.9517845961177207</v>
      </c>
      <c r="C13" s="858">
        <f>IF(ISNUMBER(NºAsuntos!I13/NºAsuntos!G13),NºAsuntos!I13/NºAsuntos!G13," - ")</f>
        <v>1.2414473684210525</v>
      </c>
      <c r="D13" s="859">
        <f>IF(ISNUMBER('Resol  Asuntos'!D13/NºAsuntos!G13),'Resol  Asuntos'!D13/NºAsuntos!G13," - ")</f>
        <v>0.18174342105263158</v>
      </c>
      <c r="E13" s="860">
        <f>IF(ISNUMBER((NºAsuntos!C13+NºAsuntos!E13)/NºAsuntos!G13),(NºAsuntos!C13+NºAsuntos!E13)/NºAsuntos!G13," - ")</f>
        <v>2.2473684210526317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0.84742111265999243</v>
      </c>
      <c r="C16" s="442">
        <f>IF(ISNUMBER(NºAsuntos!I16/NºAsuntos!G16),NºAsuntos!I16/NºAsuntos!G16," - ")</f>
        <v>0.70868850007477191</v>
      </c>
      <c r="D16" s="443">
        <f>IF(ISNUMBER('Resol  Asuntos'!D16/NºAsuntos!G16),'Resol  Asuntos'!D16/NºAsuntos!G16," - ")</f>
        <v>0.12561686855091969</v>
      </c>
      <c r="E16" s="444">
        <f>IF(ISNUMBER((NºAsuntos!C16+NºAsuntos!E16)/NºAsuntos!G16),(NºAsuntos!C16+NºAsuntos!E16)/NºAsuntos!G16," - ")</f>
        <v>1.7178106774338269</v>
      </c>
      <c r="G16" s="462"/>
    </row>
    <row r="17" spans="1:7" ht="21.75" thickBot="1">
      <c r="A17" s="401" t="str">
        <f>Datos!A17</f>
        <v>Jdos. Violencia contra la mujer/Secc Viol. TI.</v>
      </c>
      <c r="B17" s="441">
        <f>IF(ISNUMBER(NºAsuntos!G17/NºAsuntos!E17),NºAsuntos!G17/NºAsuntos!E17," - ")</f>
        <v>0.82753403933434189</v>
      </c>
      <c r="C17" s="442">
        <f>IF(ISNUMBER(NºAsuntos!I17/NºAsuntos!G17),NºAsuntos!I17/NºAsuntos!G17," - ")</f>
        <v>0.53199268738574035</v>
      </c>
      <c r="D17" s="443">
        <f>IF(ISNUMBER('Resol  Asuntos'!D17/NºAsuntos!G17),'Resol  Asuntos'!D17/NºAsuntos!G17," - ")</f>
        <v>0.38939670932358317</v>
      </c>
      <c r="E17" s="444">
        <f>IF(ISNUMBER((NºAsuntos!C17+NºAsuntos!E17)/NºAsuntos!G17),(NºAsuntos!C17+NºAsuntos!E17)/NºAsuntos!G17," - ")</f>
        <v>1.506398537477148</v>
      </c>
      <c r="G17" s="462"/>
    </row>
    <row r="18" spans="1:7" ht="14.25" thickTop="1" thickBot="1">
      <c r="A18" s="847" t="str">
        <f>Datos!A18</f>
        <v>TOTAL</v>
      </c>
      <c r="B18" s="857">
        <f>IF(ISNUMBER(NºAsuntos!G18/NºAsuntos!E18),NºAsuntos!G18/NºAsuntos!E18," - ")</f>
        <v>0.84588400374181483</v>
      </c>
      <c r="C18" s="858">
        <f>IF(ISNUMBER(NºAsuntos!I18/NºAsuntos!G18),NºAsuntos!I18/NºAsuntos!G18," - ")</f>
        <v>0.69532761957423284</v>
      </c>
      <c r="D18" s="861">
        <f>IF(ISNUMBER('Resol  Asuntos'!D18/NºAsuntos!G18),'Resol  Asuntos'!D18/NºAsuntos!G18," - ")</f>
        <v>0.14556262095659386</v>
      </c>
      <c r="E18" s="860">
        <f>IF(ISNUMBER((NºAsuntos!C18+NºAsuntos!E18)/NºAsuntos!G18),(NºAsuntos!C18+NºAsuntos!E18)/NºAsuntos!G18," - ")</f>
        <v>1.7018247166159801</v>
      </c>
      <c r="G18" s="462"/>
    </row>
    <row r="19" spans="1:7" ht="15.75" customHeight="1" thickTop="1" thickBot="1">
      <c r="A19" s="792" t="str">
        <f>Datos!A19</f>
        <v>TOTAL JURISDICCIONES</v>
      </c>
      <c r="B19" s="807">
        <f>IF(ISNUMBER(NºAsuntos!G19/NºAsuntos!E19),NºAsuntos!G19/NºAsuntos!E19," - ")</f>
        <v>0.8911646586345382</v>
      </c>
      <c r="C19" s="808">
        <f>IF(ISNUMBER(NºAsuntos!I19/NºAsuntos!G19),NºAsuntos!I19/NºAsuntos!G19," - ")</f>
        <v>0.94471984377347151</v>
      </c>
      <c r="D19" s="809">
        <f>IF(ISNUMBER('Resol  Asuntos'!D19/NºAsuntos!G19),'Resol  Asuntos'!D19/NºAsuntos!G19," - ")</f>
        <v>0.16208502328376145</v>
      </c>
      <c r="E19" s="810">
        <f>IF(ISNUMBER((NºAsuntos!C19+NºAsuntos!E19)/NºAsuntos!G19),(NºAsuntos!C19+NºAsuntos!E19)/NºAsuntos!G19," - ")</f>
        <v>1.9509538831305393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7RwLhr0+e39LcDJwRqTka7pyryV+YfGBL6IZI9QCY2BO44OXinxNhDwgDRAvtyRX/ZiXlaXSQGGfREu/4Wy4zQ==" saltValue="6WuNK3wTR7d+IIa8/wFQx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SAN JAVIER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100</v>
      </c>
      <c r="G10" s="332">
        <f>IF(ISNUMBER(Datos!I10),Datos!I10," - ")</f>
        <v>100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35</v>
      </c>
      <c r="X10" s="225">
        <f>IF(ISNUMBER(Datos!Q10),Datos!Q10," - ")</f>
        <v>4</v>
      </c>
      <c r="Y10" s="333">
        <f t="shared" ref="Y10:Y12" si="0">SUM(W10:X10)</f>
        <v>39</v>
      </c>
      <c r="Z10" s="334" t="str">
        <f>IF(ISNUMBER(Datos!CC10),Datos!CC10," - ")</f>
        <v xml:space="preserve"> - </v>
      </c>
      <c r="AA10" s="331">
        <f>IF(ISNUMBER(Datos!L10),Datos!L10,"-")</f>
        <v>120</v>
      </c>
      <c r="AB10" s="333">
        <f>IF(ISNUMBER(Datos!R10),Datos!R10," - ")</f>
        <v>31</v>
      </c>
      <c r="AC10" s="333">
        <f t="shared" ref="AC10:AC12" si="1">IF(ISNUMBER(AA10+AB10),AA10+AB10," - ")</f>
        <v>151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20</v>
      </c>
      <c r="AJ10" s="230" t="str">
        <f>IF(ISNUMBER(Datos!BW10),Datos!BW10," - ")</f>
        <v xml:space="preserve"> - </v>
      </c>
      <c r="AK10" s="231" t="str">
        <f>IF(ISNUMBER(Datos!BX10),Datos!BX10," - ")</f>
        <v xml:space="preserve"> - </v>
      </c>
      <c r="AL10" s="242">
        <f>IF(ISNUMBER(NºAsuntos!G10/NºAsuntos!E10),NºAsuntos!G10/NºAsuntos!E10," - ")</f>
        <v>0.63636363636363635</v>
      </c>
      <c r="AM10" s="259">
        <f>IF(ISNUMBER(((NºAsuntos!I10/NºAsuntos!G10)*11)/factor_trimestre),((NºAsuntos!I10/NºAsuntos!G10)*11)/factor_trimestre," - ")</f>
        <v>37.714285714285715</v>
      </c>
      <c r="AN10" s="243">
        <f>IF(ISNUMBER('Resol  Asuntos'!D10/NºAsuntos!G10),'Resol  Asuntos'!D10/NºAsuntos!G10," - ")</f>
        <v>0.5714285714285714</v>
      </c>
      <c r="AO10" s="244">
        <f>IF(ISNUMBER((NºAsuntos!C10+NºAsuntos!E10)/NºAsuntos!G10),(NºAsuntos!C10+NºAsuntos!E10)/NºAsuntos!G10," - ")</f>
        <v>4.4285714285714288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1672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1740</v>
      </c>
      <c r="Y12" s="333">
        <f t="shared" si="0"/>
        <v>1740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7024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1085</v>
      </c>
      <c r="AJ12" s="228" t="str">
        <f>IF(ISNUMBER(Datos!BW12),Datos!BW12," - ")</f>
        <v xml:space="preserve"> - </v>
      </c>
      <c r="AK12" s="227" t="str">
        <f>IF(ISNUMBER(Datos!BX12),Datos!BX12," - ")</f>
        <v xml:space="preserve"> - </v>
      </c>
      <c r="AL12" s="242">
        <f>IF(ISNUMBER(NºAsuntos!G12/NºAsuntos!E12),NºAsuntos!G12/NºAsuntos!E12," - ")</f>
        <v>0.95452392231170058</v>
      </c>
      <c r="AM12" s="259">
        <f>IF(ISNUMBER(((NºAsuntos!I12/NºAsuntos!G12)*11)/factor_trimestre),((NºAsuntos!I12/NºAsuntos!G12)*11)/factor_trimestre," - ")</f>
        <v>13.516625310173698</v>
      </c>
      <c r="AN12" s="243">
        <f>IF(ISNUMBER('Resol  Asuntos'!D12/NºAsuntos!G12),'Resol  Asuntos'!D12/NºAsuntos!G12," - ")</f>
        <v>0.17948717948717949</v>
      </c>
      <c r="AO12" s="244">
        <f>IF(ISNUMBER((NºAsuntos!C12+NºAsuntos!E12)/NºAsuntos!G12),(NºAsuntos!C12+NºAsuntos!E12)/NºAsuntos!G12," - ")</f>
        <v>2.2347394540942926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100</v>
      </c>
      <c r="G13" s="865">
        <f t="shared" si="3"/>
        <v>100</v>
      </c>
      <c r="H13" s="864">
        <f t="shared" si="3"/>
        <v>0</v>
      </c>
      <c r="I13" s="866">
        <f t="shared" si="3"/>
        <v>0</v>
      </c>
      <c r="J13" s="866">
        <f t="shared" si="3"/>
        <v>0</v>
      </c>
      <c r="K13" s="866">
        <f t="shared" si="3"/>
        <v>0</v>
      </c>
      <c r="L13" s="866">
        <f t="shared" si="3"/>
        <v>1679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35</v>
      </c>
      <c r="X13" s="866">
        <f t="shared" si="4"/>
        <v>1744</v>
      </c>
      <c r="Y13" s="867">
        <f t="shared" si="4"/>
        <v>1779</v>
      </c>
      <c r="Z13" s="867">
        <f t="shared" si="4"/>
        <v>0</v>
      </c>
      <c r="AA13" s="867">
        <f t="shared" si="4"/>
        <v>120</v>
      </c>
      <c r="AB13" s="867">
        <f t="shared" si="4"/>
        <v>7055</v>
      </c>
      <c r="AC13" s="867">
        <f t="shared" si="4"/>
        <v>151</v>
      </c>
      <c r="AD13" s="867">
        <f t="shared" si="4"/>
        <v>0</v>
      </c>
      <c r="AE13" s="871">
        <f t="shared" si="4"/>
        <v>0</v>
      </c>
      <c r="AF13" s="864">
        <f t="shared" si="4"/>
        <v>0</v>
      </c>
      <c r="AG13" s="872">
        <f t="shared" si="4"/>
        <v>0</v>
      </c>
      <c r="AH13" s="869">
        <f t="shared" si="4"/>
        <v>0</v>
      </c>
      <c r="AI13" s="864">
        <f t="shared" si="4"/>
        <v>1105</v>
      </c>
      <c r="AJ13" s="866">
        <f t="shared" si="4"/>
        <v>0</v>
      </c>
      <c r="AK13" s="869">
        <f>SUBTOTAL(9,AK9:AK12)</f>
        <v>0</v>
      </c>
      <c r="AL13" s="873">
        <f>IF(ISNUMBER(NºAsuntos!G13/NºAsuntos!E13),NºAsuntos!G13/NºAsuntos!E13," - ")</f>
        <v>0.9517845961177207</v>
      </c>
      <c r="AM13" s="873">
        <f>IF(ISNUMBER(((NºAsuntos!I13/NºAsuntos!G13)*11)/factor_trimestre),((NºAsuntos!I13/NºAsuntos!G13)*11)/factor_trimestre," - ")</f>
        <v>13.655921052631578</v>
      </c>
      <c r="AN13" s="874">
        <f>IF(ISNUMBER('Resol  Asuntos'!D13/NºAsuntos!G13),'Resol  Asuntos'!D13/NºAsuntos!G13," - ")</f>
        <v>0.18174342105263158</v>
      </c>
      <c r="AO13" s="875">
        <f>IF(ISNUMBER((NºAsuntos!C13+NºAsuntos!E13)/NºAsuntos!G13),(NºAsuntos!C13+NºAsuntos!E13)/NºAsuntos!G13," - ")</f>
        <v>2.2473684210526317</v>
      </c>
      <c r="AP13" s="876" t="str">
        <f t="shared" si="2"/>
        <v xml:space="preserve"> - </v>
      </c>
      <c r="AQ13" s="876">
        <f>IF(ISNUMBER((H13-W13+K13)/(F13)),(H13-W13+K13)/(F13)," - ")</f>
        <v>-0.35</v>
      </c>
      <c r="AR13" s="877">
        <f>IF(ISNUMBER((Datos!P13-Datos!Q13)/(Datos!R13-Datos!P13+Datos!Q13)),(Datos!P13-Datos!Q13)/(Datos!R13-Datos!P13+Datos!Q13)," - ")</f>
        <v>-9.1292134831460672E-3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3535</v>
      </c>
      <c r="G16" s="332">
        <f>IF(ISNUMBER(IF(D_I="SI",Datos!I16,Datos!I16+Datos!AC16)),IF(D_I="SI",Datos!I16,Datos!I16+Datos!AC16)," - ")</f>
        <v>3596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162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6687</v>
      </c>
      <c r="X16" s="225">
        <f>IF(ISNUMBER(Datos!Q16),Datos!Q16," - ")</f>
        <v>122</v>
      </c>
      <c r="Y16" s="333">
        <f t="shared" ref="Y16:Y17" si="7">SUM(W16:X16)</f>
        <v>6809</v>
      </c>
      <c r="Z16" s="334" t="str">
        <f>IF(ISNUMBER(Datos!CC16),Datos!CC16," - ")</f>
        <v xml:space="preserve"> - </v>
      </c>
      <c r="AA16" s="331">
        <f>IF(ISNUMBER(IF(D_I="SI",Datos!L16,Datos!L16+Datos!AF16)),IF(D_I="SI",Datos!L16,Datos!L16+Datos!AF16)," - ")</f>
        <v>4739</v>
      </c>
      <c r="AB16" s="333">
        <f>IF(ISNUMBER(Datos!R16),Datos!R16," - ")</f>
        <v>452</v>
      </c>
      <c r="AC16" s="333">
        <f t="shared" si="6"/>
        <v>5191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840</v>
      </c>
      <c r="AJ16" s="230" t="str">
        <f>IF(ISNUMBER(Datos!BW16),Datos!BW16," - ")</f>
        <v xml:space="preserve"> - </v>
      </c>
      <c r="AK16" s="231" t="str">
        <f>IF(ISNUMBER(Datos!BX16),Datos!BX16," - ")</f>
        <v xml:space="preserve"> - </v>
      </c>
      <c r="AL16" s="242">
        <f>IF(ISNUMBER(NºAsuntos!G16/NºAsuntos!E16),NºAsuntos!G16/NºAsuntos!E16," - ")</f>
        <v>0.84742111265999243</v>
      </c>
      <c r="AM16" s="259">
        <f>IF(ISNUMBER(((NºAsuntos!I16/NºAsuntos!G16)*11)/factor_trimestre),((NºAsuntos!I16/NºAsuntos!G16)*11)/factor_trimestre," - ")</f>
        <v>7.7955735008224911</v>
      </c>
      <c r="AN16" s="243">
        <f>IF(ISNUMBER('Resol  Asuntos'!D16/NºAsuntos!G16),'Resol  Asuntos'!D16/NºAsuntos!G16," - ")</f>
        <v>0.12561686855091969</v>
      </c>
      <c r="AO16" s="244">
        <f>IF(ISNUMBER((NºAsuntos!C16+NºAsuntos!E16)/NºAsuntos!G16),(NºAsuntos!C16+NºAsuntos!E16)/NºAsuntos!G16," - ")</f>
        <v>1.7178106774338269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163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547</v>
      </c>
      <c r="X17" s="225">
        <f>IF(ISNUMBER(Datos!Q17),Datos!Q17," - ")</f>
        <v>10</v>
      </c>
      <c r="Y17" s="333">
        <f t="shared" si="7"/>
        <v>557</v>
      </c>
      <c r="Z17" s="334" t="str">
        <f>IF(ISNUMBER(Datos!CC17),Datos!CC17," - ")</f>
        <v xml:space="preserve"> - </v>
      </c>
      <c r="AA17" s="331">
        <f>IF(ISNUMBER(Datos!L17),Datos!L17,"-")</f>
        <v>291</v>
      </c>
      <c r="AB17" s="333">
        <f>IF(ISNUMBER(Datos!R17),Datos!R17," - ")</f>
        <v>7</v>
      </c>
      <c r="AC17" s="333">
        <f t="shared" si="6"/>
        <v>298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213</v>
      </c>
      <c r="AJ17" s="230" t="str">
        <f>IF(ISNUMBER(Datos!BW17),Datos!BW17," - ")</f>
        <v xml:space="preserve"> - </v>
      </c>
      <c r="AK17" s="231" t="str">
        <f>IF(ISNUMBER(Datos!BX17),Datos!BX17," - ")</f>
        <v xml:space="preserve"> - </v>
      </c>
      <c r="AL17" s="242">
        <f>IF(ISNUMBER(NºAsuntos!G17/NºAsuntos!E17),NºAsuntos!G17/NºAsuntos!E17," - ")</f>
        <v>0.82753403933434189</v>
      </c>
      <c r="AM17" s="259">
        <f>IF(ISNUMBER(((NºAsuntos!I17/NºAsuntos!G17)*11)/factor_trimestre),((NºAsuntos!I17/NºAsuntos!G17)*11)/factor_trimestre," - ")</f>
        <v>5.8519195612431441</v>
      </c>
      <c r="AN17" s="243">
        <f>IF(ISNUMBER('Resol  Asuntos'!D17/NºAsuntos!G17),'Resol  Asuntos'!D17/NºAsuntos!G17," - ")</f>
        <v>0.38939670932358317</v>
      </c>
      <c r="AO17" s="244">
        <f>IF(ISNUMBER((NºAsuntos!C17+NºAsuntos!E17)/NºAsuntos!G17),(NºAsuntos!C17+NºAsuntos!E17)/NºAsuntos!G17," - ")</f>
        <v>1.506398537477148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3535</v>
      </c>
      <c r="G18" s="865">
        <f>SUBTOTAL(9,G15:G17)</f>
        <v>3759</v>
      </c>
      <c r="H18" s="864">
        <f t="shared" ref="H18:O18" si="10">SUBTOTAL(9,H14:H17)</f>
        <v>0</v>
      </c>
      <c r="I18" s="866">
        <f t="shared" si="10"/>
        <v>0</v>
      </c>
      <c r="J18" s="866">
        <f t="shared" si="10"/>
        <v>0</v>
      </c>
      <c r="K18" s="866">
        <f t="shared" si="10"/>
        <v>0</v>
      </c>
      <c r="L18" s="866">
        <f t="shared" si="10"/>
        <v>172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7234</v>
      </c>
      <c r="X18" s="866">
        <f t="shared" si="11"/>
        <v>132</v>
      </c>
      <c r="Y18" s="867">
        <f t="shared" si="11"/>
        <v>7366</v>
      </c>
      <c r="Z18" s="867">
        <f t="shared" si="11"/>
        <v>0</v>
      </c>
      <c r="AA18" s="867">
        <f t="shared" si="11"/>
        <v>5030</v>
      </c>
      <c r="AB18" s="867">
        <f t="shared" si="11"/>
        <v>459</v>
      </c>
      <c r="AC18" s="867">
        <f t="shared" si="11"/>
        <v>5489</v>
      </c>
      <c r="AD18" s="867">
        <f t="shared" si="11"/>
        <v>0</v>
      </c>
      <c r="AE18" s="871">
        <f t="shared" si="11"/>
        <v>0</v>
      </c>
      <c r="AF18" s="864">
        <f t="shared" si="11"/>
        <v>0</v>
      </c>
      <c r="AG18" s="872">
        <f t="shared" si="11"/>
        <v>0</v>
      </c>
      <c r="AH18" s="869">
        <f t="shared" si="11"/>
        <v>0</v>
      </c>
      <c r="AI18" s="864">
        <f t="shared" si="11"/>
        <v>1053</v>
      </c>
      <c r="AJ18" s="866">
        <f t="shared" si="11"/>
        <v>0</v>
      </c>
      <c r="AK18" s="869">
        <f t="shared" si="11"/>
        <v>0</v>
      </c>
      <c r="AL18" s="873">
        <f>IF(ISNUMBER(NºAsuntos!G18/NºAsuntos!E18),NºAsuntos!G18/NºAsuntos!E18," - ")</f>
        <v>0.84588400374181483</v>
      </c>
      <c r="AM18" s="873">
        <f>IF(ISNUMBER(((NºAsuntos!I18/NºAsuntos!G18)*11)/factor_trimestre),((NºAsuntos!I18/NºAsuntos!G18)*11)/factor_trimestre," - ")</f>
        <v>7.6486038153165614</v>
      </c>
      <c r="AN18" s="874">
        <f>IF(ISNUMBER('Resol  Asuntos'!D18/NºAsuntos!G18),'Resol  Asuntos'!D18/NºAsuntos!G18," - ")</f>
        <v>0.14556262095659386</v>
      </c>
      <c r="AO18" s="875">
        <f>IF(ISNUMBER((NºAsuntos!C18+NºAsuntos!E18)/NºAsuntos!G18),(NºAsuntos!C18+NºAsuntos!E18)/NºAsuntos!G18," - ")</f>
        <v>1.7018247166159801</v>
      </c>
      <c r="AP18" s="876" t="str">
        <f t="shared" si="2"/>
        <v xml:space="preserve"> - </v>
      </c>
      <c r="AQ18" s="876">
        <f>IF(ISNUMBER((H18-W18+K18)/(F18)),(H18-W18+K18)/(F18)," - ")</f>
        <v>-2.0463932107496463</v>
      </c>
      <c r="AR18" s="877">
        <f>IF(ISNUMBER((Datos!P18-Datos!Q18)/(Datos!R18-Datos!P18+Datos!Q18)),(Datos!P18-Datos!Q18)/(Datos!R18-Datos!P18+Datos!Q18)," - ")</f>
        <v>9.5465393794749401E-2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3635</v>
      </c>
      <c r="G19" s="820">
        <f t="shared" si="13"/>
        <v>3859</v>
      </c>
      <c r="H19" s="819">
        <f t="shared" si="13"/>
        <v>0</v>
      </c>
      <c r="I19" s="821">
        <f t="shared" si="13"/>
        <v>0</v>
      </c>
      <c r="J19" s="821">
        <f t="shared" si="13"/>
        <v>0</v>
      </c>
      <c r="K19" s="880">
        <f t="shared" si="13"/>
        <v>0</v>
      </c>
      <c r="L19" s="821">
        <f t="shared" si="13"/>
        <v>1851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7269</v>
      </c>
      <c r="X19" s="820">
        <f t="shared" si="14"/>
        <v>1876</v>
      </c>
      <c r="Y19" s="827">
        <f t="shared" si="14"/>
        <v>9145</v>
      </c>
      <c r="Z19" s="827">
        <f t="shared" si="14"/>
        <v>0</v>
      </c>
      <c r="AA19" s="827">
        <f t="shared" si="14"/>
        <v>5150</v>
      </c>
      <c r="AB19" s="827">
        <f t="shared" si="14"/>
        <v>7514</v>
      </c>
      <c r="AC19" s="827">
        <f t="shared" si="14"/>
        <v>5640</v>
      </c>
      <c r="AD19" s="827">
        <f t="shared" si="14"/>
        <v>0</v>
      </c>
      <c r="AE19" s="829">
        <f t="shared" si="14"/>
        <v>0</v>
      </c>
      <c r="AF19" s="830">
        <f t="shared" si="14"/>
        <v>0</v>
      </c>
      <c r="AG19" s="831">
        <f t="shared" si="14"/>
        <v>0</v>
      </c>
      <c r="AH19" s="829">
        <f t="shared" si="14"/>
        <v>0</v>
      </c>
      <c r="AI19" s="819">
        <f t="shared" si="14"/>
        <v>2158</v>
      </c>
      <c r="AJ19" s="819">
        <f t="shared" si="14"/>
        <v>0</v>
      </c>
      <c r="AK19" s="829">
        <f t="shared" si="14"/>
        <v>0</v>
      </c>
      <c r="AL19" s="883">
        <f>IF(ISNUMBER(NºAsuntos!G19/NºAsuntos!E19),NºAsuntos!G19/NºAsuntos!E19," - ")</f>
        <v>0.8911646586345382</v>
      </c>
      <c r="AM19" s="884">
        <f>IF(ISNUMBER(((NºAsuntos!I19/NºAsuntos!G19)*11)/factor_trimestre),((NºAsuntos!I19/NºAsuntos!G19)*11)/factor_trimestre," - ")</f>
        <v>10.391918281508186</v>
      </c>
      <c r="AN19" s="884">
        <f>IF(ISNUMBER('Resol  Asuntos'!D19/NºAsuntos!G19),'Resol  Asuntos'!D19/NºAsuntos!G19," - ")</f>
        <v>0.16208502328376145</v>
      </c>
      <c r="AO19" s="885">
        <f>IF(ISNUMBER((NºAsuntos!C19+NºAsuntos!E19)/NºAsuntos!G19),(NºAsuntos!C19+NºAsuntos!E19)/NºAsuntos!G19," - ")</f>
        <v>1.9509538831305393</v>
      </c>
      <c r="AP19" s="886" t="str">
        <f t="shared" si="2"/>
        <v xml:space="preserve"> - </v>
      </c>
      <c r="AQ19" s="887">
        <f>IF(OR(ISNUMBER(FIND("01",Criterios!A8,1)),ISNUMBER(FIND("02",Criterios!A8,1)),ISNUMBER(FIND("03",Criterios!A8,1)),ISNUMBER(FIND("04",Criterios!A8,1))),(I19-W19+K19)/(F19-K19),(H19-W19+K19)/(F19-K19))</f>
        <v>-1.9997248968363137</v>
      </c>
      <c r="AR19" s="888">
        <f>IF(ISNUMBER((Datos!P19-Datos!Q19)/(Datos!R19-Datos!P19+Datos!Q19)),(Datos!P19-Datos!Q19)/(Datos!R19-Datos!P19+Datos!Q19)," - ")</f>
        <v>-3.3160896670645975E-3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1543.6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3.6893239368631092</v>
      </c>
      <c r="F21" s="251">
        <f>IF(ISNUMBER(STDEV(F8:F18)),STDEV(F8:F18),"-")</f>
        <v>1983.1981746663646</v>
      </c>
      <c r="G21" s="252">
        <f>IF(ISNUMBER(STDEV(G8:G18)),STDEV(G8:G18),"-")</f>
        <v>1948.9972550006323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3710.7174238952771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480.371800449055</v>
      </c>
      <c r="AJ21" s="251">
        <f t="shared" si="18"/>
        <v>0</v>
      </c>
      <c r="AK21" s="253">
        <f t="shared" si="18"/>
        <v>0</v>
      </c>
      <c r="AL21" s="248">
        <f t="shared" si="18"/>
        <v>0.11595883546089061</v>
      </c>
      <c r="AM21" s="249">
        <f t="shared" si="18"/>
        <v>11.89244758993266</v>
      </c>
      <c r="AN21" s="249">
        <f t="shared" si="18"/>
        <v>0.17737435628051934</v>
      </c>
      <c r="AO21" s="250">
        <f t="shared" si="18"/>
        <v>1.0829757211644222</v>
      </c>
      <c r="AP21" s="290" t="str">
        <f t="shared" si="18"/>
        <v>-</v>
      </c>
      <c r="AQ21" s="291">
        <f t="shared" si="18"/>
        <v>1.1995311428798949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amCkVYJjiV5LiffV+1LfyY4UUCgAzSdZdAzcQmfojUfC+Hkv76W9YE68nQ0DzspE19t6d7ghznDoSAUDra7b9Q==" saltValue="PKjz4P6sAKCV/IqHTGYq7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SAN JAVIER</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-4.7619047619047616E-2</v>
      </c>
      <c r="E10" s="347">
        <f>IF(ISNUMBER((Datos!J10-Datos!T10)/Datos!T10),(Datos!J10-Datos!T10)/Datos!T10," - ")</f>
        <v>-0.41489361702127658</v>
      </c>
      <c r="F10" s="347">
        <f>IF(ISNUMBER((Datos!K10-Datos!U10)/Datos!U10),(Datos!K10-Datos!U10)/Datos!U10," - ")</f>
        <v>-0.64646464646464652</v>
      </c>
      <c r="G10" s="348">
        <f>IF(ISNUMBER((Datos!L10-Datos!V10)/Datos!V10),(Datos!L10-Datos!V10)/Datos!V10," - ")</f>
        <v>0.2</v>
      </c>
      <c r="H10" s="229">
        <f>IF(ISNUMBER((Datos!M10-Datos!W10)/Datos!W10),(Datos!M10-Datos!W10)/Datos!W10," - ")</f>
        <v>-0.61538461538461542</v>
      </c>
      <c r="I10" s="349">
        <f>IF(ISNUMBER((Tasas!C10-Datos!BE10)/Datos!BE10),(Tasas!C10-Datos!BE10)/Datos!BE10," - ")</f>
        <v>2.3942857142857141</v>
      </c>
      <c r="J10" s="348">
        <f>IF(ISNUMBER((Tasas!D10-Datos!BF10)/Datos!BF10),(Tasas!D10-Datos!BF10)/Datos!BF10," - ")</f>
        <v>8.7912087912087739E-2</v>
      </c>
      <c r="K10" s="350">
        <f>IF(ISNUMBER((Tasas!E10-Datos!BG10)/Datos!BG10),(Tasas!E10-Datos!BG10)/Datos!BG10," - ")</f>
        <v>1.2031586503948315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-0.1717557251908397</v>
      </c>
      <c r="I12" s="349">
        <f>IF(ISNUMBER((Tasas!C12-Datos!BE12)/Datos!BE12),(Tasas!C12-Datos!BE12)/Datos!BE12," - ")</f>
        <v>7.0220282109374685E-2</v>
      </c>
      <c r="J12" s="348">
        <f>IF(ISNUMBER((Tasas!D12-Datos!BF12)/Datos!BF12),(Tasas!D12-Datos!BF12)/Datos!BF12," - ")</f>
        <v>-0.54005950315913409</v>
      </c>
      <c r="K12" s="350">
        <f>IF(ISNUMBER((Tasas!E12-Datos!BG12)/Datos!BG12),(Tasas!E12-Datos!BG12)/Datos!BG12," - ")</f>
        <v>3.3988864975520318E-2</v>
      </c>
      <c r="M12" t="e">
        <f>IF(Monitorios="SI",Datos!CE12,0)</f>
        <v>#REF!</v>
      </c>
      <c r="N12" t="e">
        <f>IF(Monitorios="SI",Datos!CF12,0)</f>
        <v>#REF!</v>
      </c>
      <c r="O12" t="e">
        <f>IF(Monitorios="SI",Datos!CG12,0)</f>
        <v>#REF!</v>
      </c>
      <c r="P12" t="e">
        <f>IF(Monitorios="SI",Datos!CH12,0)</f>
        <v>#REF!</v>
      </c>
      <c r="Q12">
        <f>IF(J_V="SI",0,Datos!AG12)</f>
        <v>181</v>
      </c>
      <c r="R12">
        <f>IF(J_V="SI",0,Datos!AH12)</f>
        <v>319</v>
      </c>
      <c r="S12">
        <f>IF(J_V="SI",0,Datos!AI12)</f>
        <v>326</v>
      </c>
      <c r="T12">
        <f>IF(J_V="SI",0,Datos!AJ12)</f>
        <v>150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-0.18869309838472834</v>
      </c>
      <c r="I13" s="356">
        <f>IF(ISNUMBER((Tasas!C13-Datos!BE13)/Datos!BE13),(Tasas!C13-Datos!BE13)/Datos!BE13," - ")</f>
        <v>8.3280558288243878E-2</v>
      </c>
      <c r="J13" s="354">
        <f>IF(ISNUMBER((Tasas!D13-Datos!BF13)/Datos!BF13),(Tasas!D13-Datos!BF13)/Datos!BF13," - ")</f>
        <v>-0.53677680439054276</v>
      </c>
      <c r="K13" s="357">
        <f>IF(ISNUMBER((Tasas!E13-Datos!BG13)/Datos!BG13),(Tasas!E13-Datos!BG13)/Datos!BG13," - ")</f>
        <v>4.0967542515733486E-2</v>
      </c>
      <c r="M13" t="e">
        <f>IF(Monitorios="SI",Datos!CE13,0)</f>
        <v>#REF!</v>
      </c>
      <c r="N13" t="e">
        <f>IF(Monitorios="SI",Datos!CF13,0)</f>
        <v>#REF!</v>
      </c>
      <c r="O13" t="e">
        <f>IF(Monitorios="SI",Datos!CG13,0)</f>
        <v>#REF!</v>
      </c>
      <c r="P13" t="e">
        <f>IF(Monitorios="SI",Datos!CH13,0)</f>
        <v>#REF!</v>
      </c>
      <c r="Q13">
        <f>IF(J_V="SI",0,Datos!AG13)</f>
        <v>181</v>
      </c>
      <c r="R13">
        <f>IF(J_V="SI",0,Datos!AH13)</f>
        <v>319</v>
      </c>
      <c r="S13">
        <f>IF(J_V="SI",0,Datos!AI13)</f>
        <v>326</v>
      </c>
      <c r="T13">
        <f>IF(J_V="SI",0,Datos!AJ13)</f>
        <v>150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0.13474282107920479</v>
      </c>
      <c r="E16" s="347">
        <f>IF(ISNUMBER(
   IF(D_I="SI",(Datos!J16-Datos!T16)/Datos!T16,(Datos!J16+Datos!AD16-(Datos!T16+Datos!AL16))/(Datos!T16+Datos!AL16))
     ),IF(D_I="SI",(Datos!J16-Datos!T16)/Datos!T16,(Datos!J16+Datos!AD16-(Datos!T16+Datos!AL16))/(Datos!T16+Datos!AL16))," - ")</f>
        <v>0.12056234024424879</v>
      </c>
      <c r="F16" s="347">
        <f>IF(ISNUMBER(
   IF(D_I="SI",(Datos!K16-Datos!U16)/Datos!U16,(Datos!K16+Datos!AE16-(Datos!U16+Datos!AM16))/(Datos!U16+Datos!AM16))
     ),IF(D_I="SI",(Datos!K16-Datos!U16)/Datos!U16,(Datos!K16+Datos!AE16-(Datos!U16+Datos!AM16))/(Datos!U16+Datos!AM16))," - ")</f>
        <v>-1.0213143872113677E-2</v>
      </c>
      <c r="G16" s="348">
        <f>IF(ISNUMBER(
   IF(D_I="SI",(Datos!L16-Datos!V16)/Datos!V16,(Datos!L16+Datos!AF16-(Datos!V16+Datos!AN16))/(Datos!V16+Datos!AN16))
     ),IF(D_I="SI",(Datos!L16-Datos!V16)/Datos!V16,(Datos!L16+Datos!AF16-(Datos!V16+Datos!AN16))/(Datos!V16+Datos!AN16))," - ")</f>
        <v>0.31785317018909898</v>
      </c>
      <c r="H16" s="229">
        <f>IF(ISNUMBER((Datos!M16-Datos!W16)/Datos!W16),(Datos!M16-Datos!W16)/Datos!W16," - ")</f>
        <v>-9.5801937567276646E-2</v>
      </c>
      <c r="I16" s="349">
        <f>IF(ISNUMBER((Tasas!C16-Datos!BE16)/Datos!BE16),(Tasas!C16-Datos!BE16)/Datos!BE16," - ")</f>
        <v>0.33145147566884303</v>
      </c>
      <c r="J16" s="348">
        <f>IF(ISNUMBER((Tasas!D16-Datos!BF16)/Datos!BF16),(Tasas!D16-Datos!BF16)/Datos!BF16," - ")</f>
        <v>-8.6471944101169665E-2</v>
      </c>
      <c r="K16" s="350">
        <f>IF(ISNUMBER((Tasas!E16-Datos!BG16)/Datos!BG16),(Tasas!E16-Datos!BG16)/Datos!BG16," - ")</f>
        <v>0.13657124049974873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0.13986013986013987</v>
      </c>
      <c r="E17" s="347">
        <f>IF(ISNUMBER(
   IF(D_I="SI",(Datos!J17-Datos!T17)/Datos!T17,(Datos!J17+Datos!AD17-(Datos!T17+Datos!AL17))/(Datos!T17+Datos!AL17))
     ),IF(D_I="SI",(Datos!J17-Datos!T17)/Datos!T17,(Datos!J17+Datos!AD17-(Datos!T17+Datos!AL17))/(Datos!T17+Datos!AL17))," - ")</f>
        <v>-3.7845705967976713E-2</v>
      </c>
      <c r="F17" s="347">
        <f>IF(ISNUMBER(
   IF(D_I="SI",(Datos!K17-Datos!U17)/Datos!U17,(Datos!K17+Datos!AE17-(Datos!U17+Datos!AM17))/(Datos!U17+Datos!AM17))
     ),IF(D_I="SI",(Datos!K17-Datos!U17)/Datos!U17,(Datos!K17+Datos!AE17-(Datos!U17+Datos!AM17))/(Datos!U17+Datos!AM17))," - ")</f>
        <v>-0.18479880774962743</v>
      </c>
      <c r="G17" s="348">
        <f>IF(ISNUMBER(
   IF(D_I="SI",(Datos!L17-Datos!V17)/Datos!V17,(Datos!L17+Datos!AF17-(Datos!V17+Datos!AN17))/(Datos!V17+Datos!AN17))
     ),IF(D_I="SI",(Datos!L17-Datos!V17)/Datos!V17,(Datos!L17+Datos!AF17-(Datos!V17+Datos!AN17))/(Datos!V17+Datos!AN17))," - ")</f>
        <v>0.78527607361963192</v>
      </c>
      <c r="H17" s="229">
        <f>IF(ISNUMBER((Datos!M17-Datos!W17)/Datos!W17),(Datos!M17-Datos!W17)/Datos!W17," - ")</f>
        <v>0.51063829787234039</v>
      </c>
      <c r="I17" s="349">
        <f>IF(ISNUMBER((Tasas!C17-Datos!BE17)/Datos!BE17),(Tasas!C17-Datos!BE17)/Datos!BE17," - ")</f>
        <v>1.1899821670909925</v>
      </c>
      <c r="J17" s="348">
        <f>IF(ISNUMBER((Tasas!D17-Datos!BF17)/Datos!BF17),(Tasas!D17-Datos!BF17)/Datos!BF17," - ")</f>
        <v>0.85308646777393138</v>
      </c>
      <c r="K17" s="350">
        <f>IF(ISNUMBER((Tasas!E17-Datos!BG17)/Datos!BG17),(Tasas!E17-Datos!BG17)/Datos!BG17," - ")</f>
        <v>0.21782339596044137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0.13496376811594202</v>
      </c>
      <c r="E18" s="353">
        <f>IF(ISNUMBER(
   IF(D_I="SI",(Datos!J18-Datos!T18)/Datos!T18,(Datos!J18+Datos!AD18-(Datos!T18+Datos!AL18))/(Datos!T18+Datos!AL18))
     ),IF(D_I="SI",(Datos!J18-Datos!T18)/Datos!T18,(Datos!J18+Datos!AD18-(Datos!T18+Datos!AL18))/(Datos!T18+Datos!AL18))," - ")</f>
        <v>0.10648208047612887</v>
      </c>
      <c r="F18" s="353">
        <f>IF(ISNUMBER(
   IF(D_I="SI",(Datos!K18-Datos!U18)/Datos!U18,(Datos!K18+Datos!AE18-(Datos!U18+Datos!AM18))/(Datos!U18+Datos!AM18))
     ),IF(D_I="SI",(Datos!K18-Datos!U18)/Datos!U18,(Datos!K18+Datos!AE18-(Datos!U18+Datos!AM18))/(Datos!U18+Datos!AM18))," - ")</f>
        <v>-2.5986266325568871E-2</v>
      </c>
      <c r="G18" s="354">
        <f>IF(ISNUMBER(
   IF(D_I="SI",(Datos!L18-Datos!V18)/Datos!V18,(Datos!L18+Datos!AF18-(Datos!V18+Datos!AN18))/(Datos!V18+Datos!AN18))
     ),IF(D_I="SI",(Datos!L18-Datos!V18)/Datos!V18,(Datos!L18+Datos!AF18-(Datos!V18+Datos!AN18))/(Datos!V18+Datos!AN18))," - ")</f>
        <v>0.33812184091513703</v>
      </c>
      <c r="H18" s="355">
        <f>IF(ISNUMBER((Datos!M18-Datos!W18)/Datos!W18),(Datos!M18-Datos!W18)/Datos!W18," - ")</f>
        <v>-1.5887850467289719E-2</v>
      </c>
      <c r="I18" s="356">
        <f>IF(ISNUMBER((Tasas!C18-Datos!BE18)/Datos!BE18),(Tasas!C18-Datos!BE18)/Datos!BE18," - ")</f>
        <v>0.37382235450327944</v>
      </c>
      <c r="J18" s="354">
        <f>IF(ISNUMBER((Tasas!D18-Datos!BF18)/Datos!BF18),(Tasas!D18-Datos!BF18)/Datos!BF18," - ")</f>
        <v>1.0367837237965045E-2</v>
      </c>
      <c r="K18" s="357">
        <f>IF(ISNUMBER((Tasas!E18-Datos!BG18)/Datos!BG18),(Tasas!E18-Datos!BG18)/Datos!BG18," - ")</f>
        <v>0.14477422065998413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0.10438350680544435</v>
      </c>
      <c r="E19" s="362">
        <f>IF(ISNUMBER(
   IF(J_V="SI",(Datos!J19-Datos!T19)/Datos!T19,(Datos!J19+Datos!Z19-(Datos!T19+Datos!AH19))/(Datos!T19+Datos!AH19))
     ),IF(J_V="SI",(Datos!J19-Datos!T19)/Datos!T19,(Datos!J19+Datos!Z19-(Datos!T19+Datos!AH19))/(Datos!T19+Datos!AH19))," - ")</f>
        <v>1.24695039306045E-2</v>
      </c>
      <c r="F19" s="362">
        <f>IF(ISNUMBER(
   IF(J_V="SI",(Datos!K19-Datos!U19)/Datos!U19,(Datos!K19+Datos!AA19-(Datos!U19+Datos!AI19))/(Datos!U19+Datos!AI19))
     ),IF(J_V="SI",(Datos!K19-Datos!U19)/Datos!U19,(Datos!K19+Datos!AA19-(Datos!U19+Datos!AI19))/(Datos!U19+Datos!AI19))," - ")</f>
        <v>-3.3536585365853661E-2</v>
      </c>
      <c r="G19" s="363">
        <f>IF(ISNUMBER(
   IF(J_V="SI",(Datos!L19-Datos!V19)/Datos!V19,(Datos!L19+Datos!AB19-(Datos!V19+Datos!AJ19))/(Datos!V19+Datos!AJ19))
     ),IF(J_V="SI",(Datos!L19-Datos!V19)/Datos!V19,(Datos!L19+Datos!AB19-(Datos!V19+Datos!AJ19))/(Datos!V19+Datos!AJ19))," - ")</f>
        <v>0.13982782057091073</v>
      </c>
      <c r="H19" s="364">
        <f>IF(ISNUMBER((Datos!M19-Datos!W19)/Datos!W19),(Datos!M19-Datos!W19)/Datos!W19," - ")</f>
        <v>-0.11266447368421052</v>
      </c>
      <c r="I19" s="361">
        <f>IF(ISNUMBER((Tasas!C19-Datos!BE19)/Datos!BE19),(Tasas!C19-Datos!BE19)/Datos!BE19," - ")</f>
        <v>0.17938020551185713</v>
      </c>
      <c r="J19" s="362">
        <f>IF(ISNUMBER((Tasas!D19-Datos!BF19)/Datos!BF19),(Tasas!D19-Datos!BF19)/Datos!BF19," - ")</f>
        <v>-0.37296172963855723</v>
      </c>
      <c r="K19" s="363">
        <f>IF(ISNUMBER((Tasas!E19-Datos!BG19)/Datos!BG19),(Tasas!E19-Datos!BG19)/Datos!BG19," - ")</f>
        <v>8.6000512930592715E-2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9.2100937255477258E-2</v>
      </c>
      <c r="E21" s="277">
        <f t="shared" si="1"/>
        <v>0.24947155818206862</v>
      </c>
      <c r="F21" s="277">
        <f t="shared" si="1"/>
        <v>0.29705430341728817</v>
      </c>
      <c r="G21" s="278">
        <f t="shared" si="1"/>
        <v>0.25728664178677513</v>
      </c>
      <c r="H21" s="284">
        <f t="shared" si="1"/>
        <v>0.36291023924544008</v>
      </c>
      <c r="I21" s="276">
        <f t="shared" si="1"/>
        <v>0.90774742001842246</v>
      </c>
      <c r="J21" s="277">
        <f t="shared" si="1"/>
        <v>0.51290876225110604</v>
      </c>
      <c r="K21" s="278">
        <f t="shared" si="1"/>
        <v>0.44967238710104729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GeO4BzEsnmIgfK7yfEk5pT4puSbnTEtOiwKymGF9WCpRaHDy/ZfS/jJ2LPfA/8kjeGp5MnQujPVS+U8l94SZSA==" saltValue="icOvRK8MD17wDL8uUCWTW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